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7110BABF-341E-422B-A760-33F3BD99E57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<sst xmlns="http://schemas.openxmlformats.org/spreadsheetml/2006/main" count="2407" uniqueCount="883">
  <si>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</si>
  <si>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</si>
  <si>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</si>
  <si>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</si>
  <si>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</si>
  <si>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</si>
  <si>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</si>
  <si>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</si>
  <si>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</si>
  <si>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</si>
  <si>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</si>
  <si>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</si>
  <si>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</si>
  <si>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</si>
  <si>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</si>
  <si>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</si>
  <si>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</si>
  <si>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</si>
  <si>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</si>
  <si>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</si>
  <si>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</si>
  <si>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</si>
  <si>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</si>
  <si>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</si>
  <si>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</si>
  <si>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</si>
  <si>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</si>
  <si>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</si>
  <si>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</si>
  <si>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</si>
  <si>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</si>
  <si>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</si>
  <si>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</si>
  <si>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</si>
  <si>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</si>
  <si>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</si>
  <si>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</si>
  <si>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</si>
  <si>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</si>
  <si>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</si>
  <si>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</si>
  <si>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</si>
  <si>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</si>
  <si>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</si>
  <si>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</si>
  <si>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</si>
  <si>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</si>
  <si>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</si>
  <si>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</si>
  <si>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</si>
  <si>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</si>
  <si>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</si>
  <si>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</si>
  <si>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</si>
  <si>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</si>
  <si>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</si>
  <si>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</si>
  <si>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</si>
  <si>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</si>
  <si>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</si>
  <si>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</si>
  <si>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</si>
  <si>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</si>
  <si>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</si>
  <si>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</si>
  <si>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</si>
  <si>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</si>
  <si>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</si>
  <si>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</si>
  <si>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</si>
  <si>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</si>
  <si>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</si>
  <si>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</si>
  <si>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</si>
  <si>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</si>
  <si>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</si>
  <si>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</si>
  <si>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</si>
  <si>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</si>
  <si>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</si>
  <si>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</si>
  <si>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</si>
  <si>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</si>
  <si>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</si>
  <si>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</si>
  <si>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</si>
  <si>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</si>
  <si>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</si>
  <si>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</si>
  <si>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</si>
  <si>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</si>
  <si>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</si>
  <si>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</si>
  <si>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</si>
  <si>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</si>
  <si>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</si>
  <si>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</si>
  <si>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</si>
  <si>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</si>
  <si>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</si>
  <si>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</si>
  <si>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</si>
  <si>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</si>
  <si>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</si>
  <si>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</si>
  <si>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</si>
  <si>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</si>
  <si>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</si>
  <si>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</si>
  <si>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</si>
  <si>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</si>
  <si>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</si>
  <si>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</si>
  <si>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</si>
  <si>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</si>
  <si>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</si>
  <si>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</si>
  <si>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</si>
  <si>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</si>
  <si>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</si>
  <si>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</si>
  <si>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</si>
  <si>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</si>
  <si>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</si>
  <si>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</si>
  <si>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</si>
  <si>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</si>
  <si>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</si>
  <si>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</si>
  <si>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</si>
  <si>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</si>
  <si>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</si>
  <si>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</si>
  <si>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</si>
  <si>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</si>
  <si>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</si>
  <si>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</si>
  <si>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</si>
  <si>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</si>
  <si>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</si>
  <si>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</si>
  <si>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</si>
  <si>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</si>
  <si>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</si>
  <si>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</si>
  <si>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</si>
  <si>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</si>
  <si>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</si>
  <si>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</si>
  <si>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</si>
  <si>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</si>
  <si>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</si>
  <si>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</si>
  <si>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</si>
  <si>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</si>
  <si>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</si>
  <si>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</si>
  <si>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</si>
  <si>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</si>
  <si>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</si>
  <si>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</si>
  <si>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</si>
  <si>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</si>
  <si>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</si>
  <si>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</si>
  <si>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</si>
  <si>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</si>
  <si>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</si>
  <si>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</si>
  <si>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</si>
  <si>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</si>
  <si>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</si>
  <si>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</si>
  <si>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</si>
  <si>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</si>
  <si>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</si>
  <si>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</si>
  <si>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</si>
  <si>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</si>
  <si>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</si>
  <si>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</si>
  <si>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</si>
  <si>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</si>
  <si>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</si>
  <si>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</si>
  <si>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</si>
  <si>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</si>
  <si>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</si>
  <si>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</si>
  <si>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</si>
  <si>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</si>
  <si>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</si>
  <si>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</si>
  <si>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</si>
  <si>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</si>
  <si>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</si>
  <si>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</si>
  <si>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</si>
  <si>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</si>
  <si>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</si>
  <si>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</si>
  <si>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</si>
  <si>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</si>
  <si>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</si>
  <si>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</si>
  <si>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</si>
  <si>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</si>
  <si>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</si>
  <si>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</si>
  <si>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</si>
  <si>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</si>
  <si>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</si>
  <si>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</si>
  <si>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</si>
  <si>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</si>
  <si>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</si>
  <si>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</si>
  <si>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</si>
  <si>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</si>
  <si>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</si>
  <si>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</si>
  <si>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</si>
  <si>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</si>
  <si>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</si>
  <si>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</si>
  <si>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</si>
  <si>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</si>
  <si>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</si>
  <si>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</si>
  <si>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</si>
  <si>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</si>
  <si>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</si>
  <si>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</si>
  <si>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</si>
  <si>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</si>
  <si>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</si>
  <si>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</si>
  <si>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</si>
  <si>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</si>
  <si>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</si>
  <si>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</si>
  <si>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</si>
  <si>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</si>
  <si>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</si>
  <si>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</si>
  <si>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</si>
  <si>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</si>
  <si>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</si>
  <si>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</si>
  <si>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</si>
  <si>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</si>
  <si>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</si>
  <si>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</si>
  <si>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</si>
  <si>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</si>
  <si>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</si>
  <si>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</si>
  <si>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</si>
  <si>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</si>
  <si>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</si>
  <si>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</si>
  <si>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</si>
  <si>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</si>
  <si>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</si>
  <si>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</si>
  <si>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</si>
  <si>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</si>
  <si>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</si>
  <si>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</si>
  <si>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</si>
  <si>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</si>
  <si>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</si>
  <si>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</si>
  <si>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</si>
  <si>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</si>
  <si>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</si>
  <si>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</si>
  <si>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</si>
  <si>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</si>
  <si>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</si>
  <si>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</si>
  <si>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</si>
  <si>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</si>
  <si>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</si>
  <si>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</si>
  <si>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</si>
  <si>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</si>
  <si>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</si>
  <si>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</si>
  <si>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</si>
  <si>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</si>
  <si>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</si>
  <si>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</si>
  <si>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</si>
  <si>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</si>
  <si>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</si>
  <si>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</si>
  <si>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</si>
  <si>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</si>
  <si>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</si>
  <si>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</si>
  <si>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</si>
  <si>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</si>
  <si>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</si>
  <si>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</si>
  <si>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</si>
  <si>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</si>
  <si>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</si>
  <si>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</si>
  <si>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</si>
  <si>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</si>
  <si>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</si>
  <si>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</si>
  <si>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</si>
  <si>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</si>
  <si>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</si>
  <si>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</si>
  <si>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</si>
  <si>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</si>
  <si>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</si>
  <si>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</si>
  <si>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</si>
  <si>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</si>
  <si>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</si>
  <si>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</si>
  <si>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</si>
  <si>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</si>
  <si>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</si>
  <si>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</si>
  <si>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</si>
  <si>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</si>
  <si>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</si>
  <si>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</si>
  <si>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</si>
  <si>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</si>
  <si>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</si>
  <si>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</si>
  <si>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</si>
  <si>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</si>
  <si>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</si>
  <si>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</si>
  <si>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</si>
  <si>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</si>
  <si>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</si>
  <si>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</si>
  <si>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</si>
  <si>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</si>
  <si>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</si>
  <si>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</si>
  <si>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</si>
  <si>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</si>
  <si>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</si>
  <si>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</si>
  <si>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</si>
  <si>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</si>
  <si>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</si>
  <si>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</si>
  <si>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</si>
  <si>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</si>
  <si>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</si>
  <si>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</si>
  <si>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</si>
  <si>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</si>
  <si>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</si>
  <si>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</si>
  <si>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</si>
  <si>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</si>
  <si>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</si>
  <si>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</si>
  <si>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</si>
  <si>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</si>
  <si>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</si>
  <si>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</si>
  <si>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</si>
  <si>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</si>
  <si>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</si>
  <si>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</si>
  <si>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</si>
  <si>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</si>
  <si>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</si>
  <si>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</si>
  <si>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</si>
  <si>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</si>
  <si>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</si>
  <si>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</si>
  <si>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</si>
  <si>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</si>
  <si>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</si>
  <si>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</si>
  <si>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</si>
  <si>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</si>
  <si>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</si>
  <si>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</si>
  <si>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</si>
  <si>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</si>
  <si>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</si>
  <si>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</si>
  <si>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</si>
  <si>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</si>
  <si>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</si>
  <si>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</si>
  <si>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</si>
  <si>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</si>
  <si>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</si>
  <si>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</si>
  <si>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</si>
  <si>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</si>
  <si>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</si>
  <si>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</si>
  <si>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</si>
  <si>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</si>
  <si>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</si>
  <si>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</si>
  <si>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</si>
  <si>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</si>
  <si>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</si>
  <si>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</si>
  <si>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</si>
  <si>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</si>
  <si>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</si>
  <si>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</si>
  <si>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</si>
  <si>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</si>
  <si>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</si>
  <si>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</si>
  <si>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</si>
  <si>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</si>
  <si>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</si>
  <si>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</si>
  <si>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</si>
  <si>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</si>
  <si>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</si>
  <si>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</si>
  <si>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</si>
  <si>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</si>
  <si>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</si>
  <si>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</si>
  <si>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</si>
  <si>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</si>
  <si>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</si>
  <si>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</si>
  <si>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</si>
  <si>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</si>
  <si>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</si>
  <si>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</si>
  <si>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</si>
  <si>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</si>
  <si>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</si>
  <si>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</si>
  <si>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</si>
  <si>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</si>
  <si>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</si>
  <si>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</si>
  <si>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</si>
  <si>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</si>
  <si>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</si>
  <si>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</si>
  <si>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</si>
  <si>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</si>
  <si>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</si>
  <si>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</si>
  <si>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</si>
  <si>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</si>
  <si>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</si>
  <si>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</si>
  <si>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</si>
  <si>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</si>
  <si>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</si>
  <si>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</si>
  <si>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</si>
  <si>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</si>
  <si>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</si>
  <si>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</si>
  <si>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</si>
  <si>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</si>
  <si>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</si>
  <si>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</si>
  <si>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</si>
  <si>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</si>
  <si>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</si>
  <si>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</si>
  <si>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</si>
  <si>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</si>
  <si>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</si>
  <si>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</si>
  <si>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</si>
  <si>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</si>
  <si>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</si>
  <si>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</si>
  <si>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</si>
  <si>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</si>
  <si>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</si>
  <si>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</si>
  <si>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</si>
  <si>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</si>
  <si>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</si>
  <si>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</si>
  <si>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</si>
  <si>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</si>
  <si>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</si>
  <si>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</si>
  <si>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</si>
  <si>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</si>
  <si>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</si>
  <si>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</si>
  <si>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</si>
  <si>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</si>
  <si>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</si>
  <si>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</si>
  <si>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</si>
  <si>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</si>
  <si>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</si>
  <si>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</si>
  <si>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</si>
  <si>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</si>
  <si>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</si>
  <si>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</si>
  <si>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</si>
  <si>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</si>
  <si>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</si>
  <si>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</si>
  <si>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</si>
  <si>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</si>
  <si>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</si>
  <si>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</si>
  <si>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</si>
  <si>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</si>
  <si>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</si>
  <si>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</si>
  <si>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</si>
  <si>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</si>
  <si>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</si>
  <si>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</si>
  <si>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</si>
  <si>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</si>
  <si>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</si>
  <si>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</si>
  <si>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</si>
  <si>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</si>
  <si>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</si>
  <si>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</si>
  <si>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</si>
  <si>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</si>
  <si>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</si>
  <si>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</si>
  <si>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</si>
  <si>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</si>
  <si>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</si>
  <si>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</si>
  <si>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</si>
  <si>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</si>
  <si>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</si>
  <si>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</si>
  <si>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</si>
  <si>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</si>
  <si>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</si>
  <si>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</si>
  <si>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</si>
  <si>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</si>
  <si>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</si>
  <si>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</si>
  <si>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</si>
  <si>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</si>
  <si>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</si>
  <si>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</si>
  <si>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</si>
  <si>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</si>
  <si>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</si>
  <si>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</si>
  <si>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</si>
  <si>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</si>
  <si>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</si>
  <si>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</si>
  <si>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</si>
  <si>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</si>
  <si>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</si>
  <si>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</si>
  <si>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</si>
  <si>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</si>
  <si>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</si>
  <si>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</si>
  <si>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</si>
  <si>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</si>
  <si>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</si>
  <si>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</si>
  <si>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</si>
  <si>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</si>
  <si>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</si>
  <si>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</si>
  <si>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</si>
  <si>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</si>
  <si>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</si>
  <si>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</si>
  <si>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</si>
  <si>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</si>
  <si>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</si>
  <si>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</si>
  <si>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</si>
  <si>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</si>
  <si>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</si>
  <si>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</si>
  <si>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</si>
  <si>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</si>
  <si>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</si>
  <si>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</si>
  <si>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</si>
  <si>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</si>
  <si>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</si>
  <si>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</si>
  <si>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</si>
  <si>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</si>
  <si>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</si>
  <si>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</si>
  <si>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</si>
  <si>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</si>
  <si>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</si>
  <si>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</si>
  <si>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</si>
  <si>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</si>
  <si>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</si>
  <si>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</si>
  <si>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</si>
  <si>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</si>
  <si>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</si>
  <si>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</si>
  <si>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</si>
  <si>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</si>
  <si>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</si>
  <si>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</si>
  <si>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</si>
  <si>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</si>
  <si>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</si>
  <si>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</si>
  <si>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</si>
  <si>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</si>
  <si>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</si>
  <si>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</si>
  <si>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</si>
  <si>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</si>
  <si>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</si>
  <si>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</si>
  <si>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</si>
  <si>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</si>
  <si>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</si>
  <si>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</si>
  <si>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</si>
  <si>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</si>
  <si>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</si>
  <si>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</si>
  <si>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</si>
  <si>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</si>
  <si>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</si>
  <si>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</si>
  <si>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</si>
  <si>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</si>
  <si>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</si>
  <si>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</si>
  <si>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</si>
  <si>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</si>
  <si>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</si>
  <si>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</si>
  <si>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</si>
  <si>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</si>
  <si>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</si>
  <si>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</si>
  <si>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</si>
  <si>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</si>
  <si>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</si>
  <si>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</si>
  <si>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</si>
  <si>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</si>
  <si>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</si>
  <si>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</si>
  <si>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</si>
  <si>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</si>
  <si>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</si>
  <si>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</si>
  <si>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</si>
  <si>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</si>
  <si>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</si>
  <si>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</si>
  <si>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</si>
  <si>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</si>
  <si>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</si>
  <si>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</si>
  <si>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</si>
  <si>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</si>
  <si>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</si>
  <si>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</si>
  <si>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</si>
  <si>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</si>
  <si>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</si>
  <si>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</si>
  <si>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</si>
  <si>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</si>
  <si>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</si>
  <si>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</si>
  <si>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</si>
  <si>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</si>
  <si>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</si>
  <si>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</si>
  <si>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</si>
  <si>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</si>
  <si>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</si>
  <si>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</si>
  <si>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</si>
  <si>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</si>
  <si>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</si>
  <si>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</si>
  <si>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</si>
  <si>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</si>
  <si>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</si>
  <si>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</si>
  <si>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</si>
  <si>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</si>
  <si>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</si>
  <si>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</si>
  <si>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</si>
  <si>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</si>
  <si>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</si>
  <si>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</si>
  <si>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</si>
  <si>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</si>
  <si>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</si>
  <si>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</si>
  <si>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</si>
  <si>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</si>
  <si>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</si>
  <si>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</si>
  <si>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</si>
  <si>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</si>
  <si>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</si>
  <si>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</si>
  <si>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</si>
  <si>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</si>
  <si>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</si>
  <si>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</si>
  <si>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</si>
  <si>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</si>
  <si>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</si>
  <si>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</si>
  <si>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</si>
  <si>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</si>
  <si>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</si>
  <si>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</si>
  <si>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</si>
  <si>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</si>
  <si>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</si>
  <si>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</si>
  <si>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</si>
  <si>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</si>
  <si>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</si>
  <si>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</si>
  <si>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</si>
  <si>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</si>
  <si>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</si>
  <si>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</si>
  <si>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</si>
  <si>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</si>
  <si>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</si>
  <si>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</si>
  <si>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</si>
  <si>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</si>
  <si>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</si>
  <si>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</si>
  <si>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</si>
  <si>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</si>
  <si>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</si>
  <si>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</si>
  <si>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</si>
  <si>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</si>
  <si>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</si>
  <si>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</si>
  <si>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</si>
  <si>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</si>
  <si>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</si>
  <si>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</si>
  <si>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</si>
  <si>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</si>
  <si>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</si>
  <si>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</si>
  <si>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</si>
  <si>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</si>
  <si>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</si>
  <si>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</si>
  <si>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</si>
  <si>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</si>
  <si>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</si>
  <si>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</si>
  <si>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</si>
  <si>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</si>
  <si>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</si>
  <si>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</si>
  <si>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</si>
  <si>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</si>
  <si>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</si>
  <si>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</si>
  <si>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</si>
  <si>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</si>
  <si>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</si>
  <si>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</si>
  <si>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</si>
  <si>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</si>
  <si>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</si>
  <si>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</si>
  <si>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</si>
  <si>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</si>
  <si>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</si>
  <si>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</si>
  <si>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</si>
  <si>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</si>
  <si>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</si>
  <si>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</si>
  <si>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</si>
  <si>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</si>
  <si>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</si>
  <si>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</si>
  <si>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</si>
  <si>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</si>
  <si>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</si>
  <si>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</si>
  <si>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</si>
  <si>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</si>
  <si>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</si>
  <si>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</si>
  <si>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</si>
  <si>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</si>
  <si>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</si>
  <si>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</si>
  <si>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</si>
  <si>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</si>
  <si>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</si>
  <si>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</si>
  <si>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</si>
  <si>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</si>
  <si>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</si>
  <si>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</si>
  <si>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</si>
  <si>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</si>
  <si>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</si>
  <si>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</si>
  <si>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</si>
  <si>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</si>
  <si>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</si>
  <si>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</si>
  <si>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</si>
  <si>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</si>
  <si>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</si>
  <si>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</si>
  <si>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</si>
  <si>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</si>
  <si>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</si>
  <si>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</si>
  <si>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</si>
  <si>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</si>
  <si>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</si>
  <si>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</si>
  <si>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</si>
  <si>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</si>
  <si>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</si>
  <si>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</si>
  <si>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</si>
  <si>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</si>
  <si>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</si>
  <si>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</si>
  <si>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</si>
  <si>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</si>
  <si>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</si>
  <si>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</si>
  <si>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</si>
  <si>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</si>
  <si>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</si>
  <si>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</si>
  <si>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</si>
  <si>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</si>
  <si>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37017</t>
  </si>
  <si>
    <t>WIELSBEKE</t>
  </si>
  <si>
    <t>vloeibaar gas (MWh)</t>
  </si>
  <si>
    <t>interne verbrandingsmotor</t>
  </si>
  <si>
    <t>WKK interne verbrandinsgmotor (gas)</t>
  </si>
  <si>
    <t>GASELWEST</t>
  </si>
  <si>
    <t>Interne verbrandingsmotor</t>
  </si>
  <si>
    <t>GASELWEST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</si>
</sst>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BDE311C-18D5-45E5-A426-67CDBE735CE0}"/>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77008.238575305848</c:v>
                </c:pt>
                <c:pt idx="1">
                  <c:v>23136.290120076002</c:v>
                </c:pt>
                <c:pt idx="2">
                  <c:v>978.17</c:v>
                </c:pt>
                <c:pt idx="3">
                  <c:v>5745.2745669343149</c:v>
                </c:pt>
                <c:pt idx="4">
                  <c:v>813470.85293417983</c:v>
                </c:pt>
                <c:pt idx="5">
                  <c:v>50407.847458845885</c:v>
                </c:pt>
                <c:pt idx="6">
                  <c:v>393.30640241817582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77008.238575305848</c:v>
                </c:pt>
                <c:pt idx="1">
                  <c:v>23136.290120076002</c:v>
                </c:pt>
                <c:pt idx="2">
                  <c:v>978.17</c:v>
                </c:pt>
                <c:pt idx="3">
                  <c:v>5745.2745669343149</c:v>
                </c:pt>
                <c:pt idx="4">
                  <c:v>813470.85293417983</c:v>
                </c:pt>
                <c:pt idx="5">
                  <c:v>50407.847458845885</c:v>
                </c:pt>
                <c:pt idx="6">
                  <c:v>393.30640241817582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15764.72491924745</c:v>
                </c:pt>
                <c:pt idx="2">
                  <c:v>4652.387456648612</c:v>
                </c:pt>
                <c:pt idx="3">
                  <c:v>200.62106285693682</c:v>
                </c:pt>
                <c:pt idx="4">
                  <c:v>1468.8768329416243</c:v>
                </c:pt>
                <c:pt idx="5">
                  <c:v>171619.47310791269</c:v>
                </c:pt>
                <c:pt idx="6">
                  <c:v>12638.556148155849</c:v>
                </c:pt>
                <c:pt idx="7">
                  <c:v>99.109091484842821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15764.72491924745</c:v>
                </c:pt>
                <c:pt idx="2">
                  <c:v>4652.387456648612</c:v>
                </c:pt>
                <c:pt idx="3">
                  <c:v>200.62106285693682</c:v>
                </c:pt>
                <c:pt idx="4">
                  <c:v>1468.8768329416243</c:v>
                </c:pt>
                <c:pt idx="5">
                  <c:v>171619.47310791269</c:v>
                </c:pt>
                <c:pt idx="6">
                  <c:v>12638.556148155849</c:v>
                </c:pt>
                <c:pt idx="7">
                  <c:v>99.109091484842821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37017</v>
      </c>
      <c r="B6" s="380"/>
      <c r="C6" s="381"/>
    </row>
    <row r="7" spans="1:7" s="378" customFormat="1" ht="15.75" customHeight="1">
      <c r="A7" s="382" t="str">
        <f>txtMunicipality</f>
        <v>WIELSBEKE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0.20509836005698071</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0.20509836005698071</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3772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1008.94</v>
      </c>
      <c r="C14" s="322"/>
      <c r="D14" s="322"/>
      <c r="E14" s="322"/>
      <c r="F14" s="322"/>
    </row>
    <row r="15" spans="1:6">
      <c r="A15" s="1248" t="s">
        <v>177</v>
      </c>
      <c r="B15" s="1249">
        <v>566</v>
      </c>
      <c r="C15" s="322"/>
      <c r="D15" s="322"/>
      <c r="E15" s="322"/>
      <c r="F15" s="322"/>
    </row>
    <row r="16" spans="1:6">
      <c r="A16" s="1248" t="s">
        <v>6</v>
      </c>
      <c r="B16" s="1249">
        <v>483</v>
      </c>
      <c r="C16" s="322"/>
      <c r="D16" s="322"/>
      <c r="E16" s="322"/>
      <c r="F16" s="322"/>
    </row>
    <row r="17" spans="1:6">
      <c r="A17" s="1248" t="s">
        <v>7</v>
      </c>
      <c r="B17" s="1249">
        <v>506</v>
      </c>
      <c r="C17" s="322"/>
      <c r="D17" s="322"/>
      <c r="E17" s="322"/>
      <c r="F17" s="322"/>
    </row>
    <row r="18" spans="1:6">
      <c r="A18" s="1248" t="s">
        <v>8</v>
      </c>
      <c r="B18" s="1249">
        <v>718</v>
      </c>
      <c r="C18" s="322"/>
      <c r="D18" s="322"/>
      <c r="E18" s="322"/>
      <c r="F18" s="322"/>
    </row>
    <row r="19" spans="1:6">
      <c r="A19" s="1248" t="s">
        <v>9</v>
      </c>
      <c r="B19" s="1249">
        <v>687</v>
      </c>
      <c r="C19" s="322"/>
      <c r="D19" s="322"/>
      <c r="E19" s="322"/>
      <c r="F19" s="322"/>
    </row>
    <row r="20" spans="1:6">
      <c r="A20" s="1248" t="s">
        <v>10</v>
      </c>
      <c r="B20" s="1249">
        <v>360</v>
      </c>
      <c r="C20" s="322"/>
      <c r="D20" s="322"/>
      <c r="E20" s="322"/>
      <c r="F20" s="322"/>
    </row>
    <row r="21" spans="1:6">
      <c r="A21" s="1248" t="s">
        <v>11</v>
      </c>
      <c r="B21" s="1249">
        <v>3337</v>
      </c>
      <c r="C21" s="322"/>
      <c r="D21" s="322"/>
      <c r="E21" s="322"/>
      <c r="F21" s="322"/>
    </row>
    <row r="22" spans="1:6">
      <c r="A22" s="1248" t="s">
        <v>12</v>
      </c>
      <c r="B22" s="1249">
        <v>15822</v>
      </c>
      <c r="C22" s="322"/>
      <c r="D22" s="322"/>
      <c r="E22" s="322"/>
      <c r="F22" s="322"/>
    </row>
    <row r="23" spans="1:6">
      <c r="A23" s="1248" t="s">
        <v>13</v>
      </c>
      <c r="B23" s="1249">
        <v>103</v>
      </c>
      <c r="C23" s="322"/>
      <c r="D23" s="322"/>
      <c r="E23" s="322"/>
      <c r="F23" s="322"/>
    </row>
    <row r="24" spans="1:6">
      <c r="A24" s="1248" t="s">
        <v>14</v>
      </c>
      <c r="B24" s="1249">
        <v>5</v>
      </c>
      <c r="C24" s="322"/>
      <c r="D24" s="322"/>
      <c r="E24" s="322"/>
      <c r="F24" s="322"/>
    </row>
    <row r="25" spans="1:6">
      <c r="A25" s="1248" t="s">
        <v>15</v>
      </c>
      <c r="B25" s="1249">
        <v>888</v>
      </c>
      <c r="C25" s="322"/>
      <c r="D25" s="322"/>
      <c r="E25" s="322"/>
      <c r="F25" s="322"/>
    </row>
    <row r="26" spans="1:6">
      <c r="A26" s="1248" t="s">
        <v>16</v>
      </c>
      <c r="B26" s="1249">
        <v>146</v>
      </c>
      <c r="C26" s="322"/>
      <c r="D26" s="322"/>
      <c r="E26" s="322"/>
      <c r="F26" s="322"/>
    </row>
    <row r="27" spans="1:6">
      <c r="A27" s="1248" t="s">
        <v>17</v>
      </c>
      <c r="B27" s="1249">
        <v>0</v>
      </c>
      <c r="C27" s="322"/>
      <c r="D27" s="322"/>
      <c r="E27" s="322"/>
      <c r="F27" s="322"/>
    </row>
    <row r="28" spans="1:6">
      <c r="A28" s="1248" t="s">
        <v>18</v>
      </c>
      <c r="B28" s="1250">
        <v>83786</v>
      </c>
      <c r="C28" s="322"/>
      <c r="D28" s="322"/>
      <c r="E28" s="322"/>
      <c r="F28" s="322"/>
    </row>
    <row r="29" spans="1:6">
      <c r="A29" s="1248" t="s">
        <v>691</v>
      </c>
      <c r="B29" s="1250">
        <v>28</v>
      </c>
      <c r="C29" s="322"/>
      <c r="D29" s="322"/>
      <c r="E29" s="322"/>
      <c r="F29" s="322"/>
    </row>
    <row r="30" spans="1:6">
      <c r="A30" s="1243" t="s">
        <v>692</v>
      </c>
      <c r="B30" s="1251">
        <v>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1697118.0761422999</v>
      </c>
    </row>
    <row r="39" spans="1:6">
      <c r="A39" s="1248" t="s">
        <v>29</v>
      </c>
      <c r="B39" s="1248" t="s">
        <v>30</v>
      </c>
      <c r="C39" s="1249">
        <v>2246</v>
      </c>
      <c r="D39" s="1249">
        <v>35054301.020755999</v>
      </c>
      <c r="E39" s="1249">
        <v>3536</v>
      </c>
      <c r="F39" s="1249">
        <v>13542326.4921935</v>
      </c>
    </row>
    <row r="40" spans="1:6">
      <c r="A40" s="1248" t="s">
        <v>29</v>
      </c>
      <c r="B40" s="1248" t="s">
        <v>28</v>
      </c>
      <c r="C40" s="1249">
        <v>0</v>
      </c>
      <c r="D40" s="1249">
        <v>0</v>
      </c>
      <c r="E40" s="1249">
        <v>0</v>
      </c>
      <c r="F40" s="1249">
        <v>0</v>
      </c>
    </row>
    <row r="41" spans="1:6">
      <c r="A41" s="1248" t="s">
        <v>31</v>
      </c>
      <c r="B41" s="1248" t="s">
        <v>32</v>
      </c>
      <c r="C41" s="1249">
        <v>53</v>
      </c>
      <c r="D41" s="1249">
        <v>59296900.9840023</v>
      </c>
      <c r="E41" s="1249">
        <v>170</v>
      </c>
      <c r="F41" s="1249">
        <v>151986637.85188201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35464.702812650197</v>
      </c>
      <c r="E44" s="1249">
        <v>13</v>
      </c>
      <c r="F44" s="1249">
        <v>317514.857959349</v>
      </c>
    </row>
    <row r="45" spans="1:6">
      <c r="A45" s="1248" t="s">
        <v>31</v>
      </c>
      <c r="B45" s="1248" t="s">
        <v>36</v>
      </c>
      <c r="C45" s="1249">
        <v>0</v>
      </c>
      <c r="D45" s="1249">
        <v>0</v>
      </c>
      <c r="E45" s="1249">
        <v>3</v>
      </c>
      <c r="F45" s="1249">
        <v>95708.167139629993</v>
      </c>
    </row>
    <row r="46" spans="1:6">
      <c r="A46" s="1248" t="s">
        <v>31</v>
      </c>
      <c r="B46" s="1248" t="s">
        <v>37</v>
      </c>
      <c r="C46" s="1249">
        <v>0</v>
      </c>
      <c r="D46" s="1249">
        <v>0</v>
      </c>
      <c r="E46" s="1249">
        <v>0</v>
      </c>
      <c r="F46" s="1249">
        <v>0</v>
      </c>
    </row>
    <row r="47" spans="1:6">
      <c r="A47" s="1248" t="s">
        <v>31</v>
      </c>
      <c r="B47" s="1248" t="s">
        <v>38</v>
      </c>
      <c r="C47" s="1249">
        <v>3</v>
      </c>
      <c r="D47" s="1249">
        <v>81446.027242031501</v>
      </c>
      <c r="E47" s="1249">
        <v>4</v>
      </c>
      <c r="F47" s="1249">
        <v>590207.71941763302</v>
      </c>
    </row>
    <row r="48" spans="1:6">
      <c r="A48" s="1248" t="s">
        <v>31</v>
      </c>
      <c r="B48" s="1248" t="s">
        <v>28</v>
      </c>
      <c r="C48" s="1249">
        <v>35</v>
      </c>
      <c r="D48" s="1249">
        <v>214647924.42264301</v>
      </c>
      <c r="E48" s="1249">
        <v>47</v>
      </c>
      <c r="F48" s="1249">
        <v>35268528.584590502</v>
      </c>
    </row>
    <row r="49" spans="1:6">
      <c r="A49" s="1248" t="s">
        <v>31</v>
      </c>
      <c r="B49" s="1248" t="s">
        <v>39</v>
      </c>
      <c r="C49" s="1249">
        <v>8</v>
      </c>
      <c r="D49" s="1249">
        <v>123185465.25648101</v>
      </c>
      <c r="E49" s="1249">
        <v>26</v>
      </c>
      <c r="F49" s="1249">
        <v>121023496.114669</v>
      </c>
    </row>
    <row r="50" spans="1:6">
      <c r="A50" s="1248" t="s">
        <v>31</v>
      </c>
      <c r="B50" s="1248" t="s">
        <v>40</v>
      </c>
      <c r="C50" s="1249">
        <v>7</v>
      </c>
      <c r="D50" s="1249">
        <v>868342.69776472403</v>
      </c>
      <c r="E50" s="1249">
        <v>11</v>
      </c>
      <c r="F50" s="1249">
        <v>14402610.6264963</v>
      </c>
    </row>
    <row r="51" spans="1:6">
      <c r="A51" s="1248" t="s">
        <v>41</v>
      </c>
      <c r="B51" s="1248" t="s">
        <v>42</v>
      </c>
      <c r="C51" s="1249">
        <v>4</v>
      </c>
      <c r="D51" s="1249">
        <v>59140.145398358203</v>
      </c>
      <c r="E51" s="1249">
        <v>46</v>
      </c>
      <c r="F51" s="1249">
        <v>764206.65021227999</v>
      </c>
    </row>
    <row r="52" spans="1:6">
      <c r="A52" s="1248" t="s">
        <v>41</v>
      </c>
      <c r="B52" s="1248" t="s">
        <v>28</v>
      </c>
      <c r="C52" s="1249">
        <v>4</v>
      </c>
      <c r="D52" s="1249">
        <v>303956.45856775</v>
      </c>
      <c r="E52" s="1249">
        <v>9</v>
      </c>
      <c r="F52" s="1249">
        <v>322685.22075254598</v>
      </c>
    </row>
    <row r="53" spans="1:6">
      <c r="A53" s="1248" t="s">
        <v>43</v>
      </c>
      <c r="B53" s="1248" t="s">
        <v>44</v>
      </c>
      <c r="C53" s="1249">
        <v>48</v>
      </c>
      <c r="D53" s="1249">
        <v>949749.81541352801</v>
      </c>
      <c r="E53" s="1249">
        <v>106</v>
      </c>
      <c r="F53" s="1249">
        <v>384338.291672736</v>
      </c>
    </row>
    <row r="54" spans="1:6">
      <c r="A54" s="1248" t="s">
        <v>45</v>
      </c>
      <c r="B54" s="1248" t="s">
        <v>46</v>
      </c>
      <c r="C54" s="1249">
        <v>0</v>
      </c>
      <c r="D54" s="1249">
        <v>0</v>
      </c>
      <c r="E54" s="1249">
        <v>1</v>
      </c>
      <c r="F54" s="1249">
        <v>978170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25</v>
      </c>
      <c r="D57" s="1249">
        <v>805051.875687622</v>
      </c>
      <c r="E57" s="1249">
        <v>55</v>
      </c>
      <c r="F57" s="1249">
        <v>1831526.70239832</v>
      </c>
    </row>
    <row r="58" spans="1:6">
      <c r="A58" s="1248" t="s">
        <v>48</v>
      </c>
      <c r="B58" s="1248" t="s">
        <v>50</v>
      </c>
      <c r="C58" s="1249">
        <v>0</v>
      </c>
      <c r="D58" s="1249">
        <v>0</v>
      </c>
      <c r="E58" s="1249">
        <v>6</v>
      </c>
      <c r="F58" s="1249">
        <v>31197.127664678701</v>
      </c>
    </row>
    <row r="59" spans="1:6">
      <c r="A59" s="1248" t="s">
        <v>48</v>
      </c>
      <c r="B59" s="1248" t="s">
        <v>51</v>
      </c>
      <c r="C59" s="1249">
        <v>25</v>
      </c>
      <c r="D59" s="1249">
        <v>676881.49895684503</v>
      </c>
      <c r="E59" s="1249">
        <v>103</v>
      </c>
      <c r="F59" s="1249">
        <v>1811209.67984586</v>
      </c>
    </row>
    <row r="60" spans="1:6">
      <c r="A60" s="1248" t="s">
        <v>48</v>
      </c>
      <c r="B60" s="1248" t="s">
        <v>52</v>
      </c>
      <c r="C60" s="1249">
        <v>16</v>
      </c>
      <c r="D60" s="1249">
        <v>515535.55328518501</v>
      </c>
      <c r="E60" s="1249">
        <v>23</v>
      </c>
      <c r="F60" s="1249">
        <v>279487.14160573302</v>
      </c>
    </row>
    <row r="61" spans="1:6">
      <c r="A61" s="1248" t="s">
        <v>48</v>
      </c>
      <c r="B61" s="1248" t="s">
        <v>53</v>
      </c>
      <c r="C61" s="1249">
        <v>83</v>
      </c>
      <c r="D61" s="1249">
        <v>4143648.0081517501</v>
      </c>
      <c r="E61" s="1249">
        <v>177</v>
      </c>
      <c r="F61" s="1249">
        <v>5592784.2198507497</v>
      </c>
    </row>
    <row r="62" spans="1:6">
      <c r="A62" s="1248" t="s">
        <v>48</v>
      </c>
      <c r="B62" s="1248" t="s">
        <v>54</v>
      </c>
      <c r="C62" s="1249">
        <v>6</v>
      </c>
      <c r="D62" s="1249">
        <v>750996.064488929</v>
      </c>
      <c r="E62" s="1249">
        <v>10</v>
      </c>
      <c r="F62" s="1249">
        <v>107901.77370183</v>
      </c>
    </row>
    <row r="63" spans="1:6">
      <c r="A63" s="1248" t="s">
        <v>48</v>
      </c>
      <c r="B63" s="1248" t="s">
        <v>28</v>
      </c>
      <c r="C63" s="1249">
        <v>73</v>
      </c>
      <c r="D63" s="1249">
        <v>2515829.7935816599</v>
      </c>
      <c r="E63" s="1249">
        <v>101</v>
      </c>
      <c r="F63" s="1249">
        <v>1487415.52570944</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4</v>
      </c>
      <c r="F66" s="1249">
        <v>78571</v>
      </c>
    </row>
    <row r="67" spans="1:6">
      <c r="A67" s="1248" t="s">
        <v>55</v>
      </c>
      <c r="B67" s="1248" t="s">
        <v>58</v>
      </c>
      <c r="C67" s="1249">
        <v>0</v>
      </c>
      <c r="D67" s="1249">
        <v>0</v>
      </c>
      <c r="E67" s="1249">
        <v>0</v>
      </c>
      <c r="F67" s="1249">
        <v>0</v>
      </c>
    </row>
    <row r="68" spans="1:6">
      <c r="A68" s="1243" t="s">
        <v>55</v>
      </c>
      <c r="B68" s="1243" t="s">
        <v>59</v>
      </c>
      <c r="C68" s="1251">
        <v>6</v>
      </c>
      <c r="D68" s="1251">
        <v>92785.2657546759</v>
      </c>
      <c r="E68" s="1251">
        <v>24</v>
      </c>
      <c r="F68" s="1251">
        <v>152969.32156811201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24241343</v>
      </c>
      <c r="E73" s="439"/>
      <c r="F73" s="322"/>
    </row>
    <row r="74" spans="1:6">
      <c r="A74" s="1248" t="s">
        <v>63</v>
      </c>
      <c r="B74" s="1248" t="s">
        <v>617</v>
      </c>
      <c r="C74" s="1261" t="s">
        <v>619</v>
      </c>
      <c r="D74" s="1249">
        <v>5276784</v>
      </c>
      <c r="E74" s="439"/>
      <c r="F74" s="322"/>
    </row>
    <row r="75" spans="1:6">
      <c r="A75" s="1248" t="s">
        <v>64</v>
      </c>
      <c r="B75" s="1248" t="s">
        <v>616</v>
      </c>
      <c r="C75" s="1261" t="s">
        <v>620</v>
      </c>
      <c r="D75" s="1249">
        <v>14149180</v>
      </c>
      <c r="E75" s="439"/>
      <c r="F75" s="322"/>
    </row>
    <row r="76" spans="1:6">
      <c r="A76" s="1248" t="s">
        <v>64</v>
      </c>
      <c r="B76" s="1248" t="s">
        <v>617</v>
      </c>
      <c r="C76" s="1261" t="s">
        <v>621</v>
      </c>
      <c r="D76" s="1249">
        <v>2196244</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106974</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15846.522752342617</v>
      </c>
      <c r="C90" s="322"/>
      <c r="D90" s="322"/>
      <c r="E90" s="322"/>
      <c r="F90" s="322"/>
    </row>
    <row r="91" spans="1:6">
      <c r="A91" s="1248" t="s">
        <v>67</v>
      </c>
      <c r="B91" s="1249">
        <v>2206.619818951825</v>
      </c>
      <c r="C91" s="322"/>
      <c r="D91" s="322"/>
      <c r="E91" s="322"/>
      <c r="F91" s="322"/>
    </row>
    <row r="92" spans="1:6">
      <c r="A92" s="1243" t="s">
        <v>68</v>
      </c>
      <c r="B92" s="1244">
        <v>7628.7085544591328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1190</v>
      </c>
      <c r="C97" s="322"/>
      <c r="D97" s="322"/>
      <c r="E97" s="322"/>
      <c r="F97" s="322"/>
    </row>
    <row r="98" spans="1:6">
      <c r="A98" s="1248" t="s">
        <v>71</v>
      </c>
      <c r="B98" s="1249">
        <v>0</v>
      </c>
      <c r="C98" s="322"/>
      <c r="D98" s="322"/>
      <c r="E98" s="322"/>
      <c r="F98" s="322"/>
    </row>
    <row r="99" spans="1:6">
      <c r="A99" s="1248" t="s">
        <v>72</v>
      </c>
      <c r="B99" s="1249">
        <v>52</v>
      </c>
      <c r="C99" s="322"/>
      <c r="D99" s="322"/>
      <c r="E99" s="322"/>
      <c r="F99" s="322"/>
    </row>
    <row r="100" spans="1:6">
      <c r="A100" s="1248" t="s">
        <v>73</v>
      </c>
      <c r="B100" s="1249">
        <v>255</v>
      </c>
      <c r="C100" s="322"/>
      <c r="D100" s="322"/>
      <c r="E100" s="322"/>
      <c r="F100" s="322"/>
    </row>
    <row r="101" spans="1:6">
      <c r="A101" s="1248" t="s">
        <v>74</v>
      </c>
      <c r="B101" s="1249">
        <v>72</v>
      </c>
      <c r="C101" s="322"/>
      <c r="D101" s="322"/>
      <c r="E101" s="322"/>
      <c r="F101" s="322"/>
    </row>
    <row r="102" spans="1:6">
      <c r="A102" s="1248" t="s">
        <v>75</v>
      </c>
      <c r="B102" s="1249">
        <v>71</v>
      </c>
      <c r="C102" s="322"/>
      <c r="D102" s="322"/>
      <c r="E102" s="322"/>
      <c r="F102" s="322"/>
    </row>
    <row r="103" spans="1:6">
      <c r="A103" s="1248" t="s">
        <v>76</v>
      </c>
      <c r="B103" s="1249">
        <v>104</v>
      </c>
      <c r="C103" s="322"/>
      <c r="D103" s="322"/>
      <c r="E103" s="322"/>
      <c r="F103" s="322"/>
    </row>
    <row r="104" spans="1:6">
      <c r="A104" s="1248" t="s">
        <v>77</v>
      </c>
      <c r="B104" s="1249">
        <v>1539</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30</v>
      </c>
      <c r="C123" s="1249">
        <v>14</v>
      </c>
      <c r="D123" s="322"/>
      <c r="E123" s="322"/>
      <c r="F123" s="322"/>
    </row>
    <row r="124" spans="1:6">
      <c r="A124" s="1248" t="s">
        <v>88</v>
      </c>
      <c r="B124" s="1249">
        <v>1</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128</v>
      </c>
      <c r="C129" s="322"/>
      <c r="D129" s="322"/>
      <c r="E129" s="322"/>
      <c r="F129" s="322"/>
    </row>
    <row r="130" spans="1:6">
      <c r="A130" s="1248" t="s">
        <v>283</v>
      </c>
      <c r="B130" s="1249">
        <v>3</v>
      </c>
      <c r="C130" s="322"/>
      <c r="D130" s="322"/>
      <c r="E130" s="322"/>
      <c r="F130" s="322"/>
    </row>
    <row r="131" spans="1:6">
      <c r="A131" s="1248" t="s">
        <v>284</v>
      </c>
      <c r="B131" s="1249">
        <v>7</v>
      </c>
      <c r="C131" s="322"/>
      <c r="D131" s="322"/>
      <c r="E131" s="322"/>
      <c r="F131" s="322"/>
    </row>
    <row r="132" spans="1:6">
      <c r="A132" s="1243" t="s">
        <v>285</v>
      </c>
      <c r="B132" s="1244">
        <v>10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354943.02705025981</v>
      </c>
      <c r="C3" s="43" t="s">
        <v>163</v>
      </c>
      <c r="D3" s="43"/>
      <c r="E3" s="153"/>
      <c r="F3" s="43"/>
      <c r="G3" s="43"/>
      <c r="H3" s="43"/>
      <c r="I3" s="43"/>
      <c r="J3" s="43"/>
      <c r="K3" s="96"/>
    </row>
    <row r="4" spans="1:11">
      <c r="A4" s="348" t="s">
        <v>164</v>
      </c>
      <c r="B4" s="49">
        <f>IF(ISERROR('SEAP template'!B78+'SEAP template'!C78),0,'SEAP template'!B78+'SEAP template'!C78)</f>
        <v>27574.851125753572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449.8658823529413</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0.20509836005698071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642.66554621848752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2704.2857142857147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978.17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978.17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0.20509836005698071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200.62106285693682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13542.326492193499</v>
      </c>
      <c r="C5" s="17">
        <f>IF(ISERROR('Eigen informatie GS &amp; warmtenet'!B57),0,'Eigen informatie GS &amp; warmtenet'!B57)</f>
        <v>0</v>
      </c>
      <c r="D5" s="30">
        <f>(SUM(HH_hh_gas_kWh,HH_rest_gas_kWh)/1000)*0.902</f>
        <v>31618.979520721914</v>
      </c>
      <c r="E5" s="17">
        <f>B32*B41</f>
        <v>951.93372231709577</v>
      </c>
      <c r="F5" s="17">
        <f>B36*B45</f>
        <v>22065.083063452294</v>
      </c>
      <c r="G5" s="18"/>
      <c r="H5" s="17"/>
      <c r="I5" s="17"/>
      <c r="J5" s="17">
        <f>B35*B44+C35*C44</f>
        <v>113.39509071338831</v>
      </c>
      <c r="K5" s="17"/>
      <c r="L5" s="17"/>
      <c r="M5" s="17"/>
      <c r="N5" s="17">
        <f>B34*B43+C34*C43</f>
        <v>5504.6108669558353</v>
      </c>
      <c r="O5" s="17">
        <f>B52*B53*B54</f>
        <v>223.55666666666667</v>
      </c>
      <c r="P5" s="17">
        <f>B60*B61*B62/1000-B60*B61*B62/1000/B63</f>
        <v>781.73333333333335</v>
      </c>
    </row>
    <row r="6" spans="1:16">
      <c r="A6" s="16" t="s">
        <v>582</v>
      </c>
      <c r="B6" s="716">
        <f>kWh_PV_kleiner_dan_10kW</f>
        <v>2206.619818951825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15748.946311145324</v>
      </c>
      <c r="C8" s="21">
        <f>C5</f>
        <v>0</v>
      </c>
      <c r="D8" s="21">
        <f>D5</f>
        <v>31618.979520721914</v>
      </c>
      <c r="E8" s="21">
        <f>E5</f>
        <v>951.93372231709577</v>
      </c>
      <c r="F8" s="21">
        <f>F5</f>
        <v>22065.083063452294</v>
      </c>
      <c r="G8" s="21"/>
      <c r="H8" s="21"/>
      <c r="I8" s="21"/>
      <c r="J8" s="21">
        <f>J5</f>
        <v>113.39509071338831</v>
      </c>
      <c r="K8" s="21"/>
      <c r="L8" s="21">
        <f>L5</f>
        <v>0</v>
      </c>
      <c r="M8" s="21">
        <f>M5</f>
        <v>0</v>
      </c>
      <c r="N8" s="21">
        <f>N5</f>
        <v>5504.6108669558353</v>
      </c>
      <c r="O8" s="21">
        <f>O5</f>
        <v>223.55666666666667</v>
      </c>
      <c r="P8" s="21">
        <f>P5</f>
        <v>781.73333333333335</v>
      </c>
    </row>
    <row r="9" spans="1:16">
      <c r="B9" s="19"/>
      <c r="C9" s="19"/>
      <c r="D9" s="253"/>
      <c r="E9" s="19"/>
      <c r="F9" s="19"/>
      <c r="G9" s="19"/>
      <c r="H9" s="19"/>
      <c r="I9" s="19"/>
      <c r="J9" s="19"/>
      <c r="K9" s="19"/>
      <c r="L9" s="19"/>
      <c r="M9" s="19"/>
      <c r="N9" s="19"/>
      <c r="O9" s="19"/>
      <c r="P9" s="19"/>
    </row>
    <row r="10" spans="1:16">
      <c r="A10" s="24" t="s">
        <v>207</v>
      </c>
      <c r="B10" s="25">
        <f ca="1">'EF ele_warmte'!B12</f>
        <v>0.20509836005698071</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3230.0830610413418</v>
      </c>
      <c r="C12" s="23">
        <f ca="1">C10*C8</f>
        <v>0</v>
      </c>
      <c r="D12" s="23">
        <f>D8*D10</f>
        <v>6387.0338631858267</v>
      </c>
      <c r="E12" s="23">
        <f>E10*E8</f>
        <v>216.08895496598075</v>
      </c>
      <c r="F12" s="23">
        <f>F10*F8</f>
        <v>5891.377177941763</v>
      </c>
      <c r="G12" s="23"/>
      <c r="H12" s="23"/>
      <c r="I12" s="23"/>
      <c r="J12" s="23">
        <f>J10*J8</f>
        <v>40.141862112539464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3772</v>
      </c>
      <c r="C26" s="36"/>
      <c r="D26" s="224"/>
    </row>
    <row r="27" spans="1:5" s="15" customFormat="1">
      <c r="A27" s="226" t="s">
        <v>736</v>
      </c>
      <c r="B27" s="37">
        <f>SUM(HH_hh_gas_aantal,HH_rest_gas_aantal)</f>
        <v>2246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2133.6999999999998</v>
      </c>
      <c r="C31" s="34" t="s">
        <v>104</v>
      </c>
      <c r="D31" s="170"/>
    </row>
    <row r="32" spans="1:5">
      <c r="A32" s="167" t="s">
        <v>72</v>
      </c>
      <c r="B32" s="33">
        <f>IF((B21*($B$26-($B$27-0.05*$B$27)-$B$60))&lt;0,0,B21*($B$26-($B$27-0.05*$B$27)-$B$60))</f>
        <v>17.590798220465846</v>
      </c>
      <c r="C32" s="34" t="s">
        <v>104</v>
      </c>
      <c r="D32" s="170"/>
    </row>
    <row r="33" spans="1:6">
      <c r="A33" s="167" t="s">
        <v>73</v>
      </c>
      <c r="B33" s="33">
        <f>IF((B22*($B$26-($B$27-0.05*$B$27)-$B$60))&lt;0,0,B22*($B$26-($B$27-0.05*$B$27)-$B$60))</f>
        <v>365.72746721550112</v>
      </c>
      <c r="C33" s="34" t="s">
        <v>104</v>
      </c>
      <c r="D33" s="170"/>
    </row>
    <row r="34" spans="1:6">
      <c r="A34" s="167" t="s">
        <v>74</v>
      </c>
      <c r="B34" s="33">
        <f>IF((B24*($B$26-($B$27-0.05*$B$27)-$B$60))&lt;0,0,B24*($B$26-($B$27-0.05*$B$27)-$B$60))</f>
        <v>142.74217665135203</v>
      </c>
      <c r="C34" s="33">
        <f>B26*C24</f>
        <v>668.11413739198827</v>
      </c>
      <c r="D34" s="229"/>
    </row>
    <row r="35" spans="1:6">
      <c r="A35" s="167" t="s">
        <v>76</v>
      </c>
      <c r="B35" s="33">
        <f>IF((B19*($B$26-($B$27-0.05*$B$27)-$B$60))&lt;0,0,B19*($B$26-($B$27-0.05*$B$27)-$B$60))</f>
        <v>13.314337425203021</v>
      </c>
      <c r="C35" s="33">
        <f>B35/2</f>
        <v>6.6571687126015107</v>
      </c>
      <c r="D35" s="229"/>
    </row>
    <row r="36" spans="1:6">
      <c r="A36" s="167" t="s">
        <v>77</v>
      </c>
      <c r="B36" s="33">
        <f>IF((B18*($B$26-($B$27-0.05*$B$27)-$B$60))&lt;0,0,B18*($B$26-($B$27-0.05*$B$27)-$B$60))</f>
        <v>1057.9252204874781</v>
      </c>
      <c r="C36" s="34" t="s">
        <v>104</v>
      </c>
      <c r="D36" s="170"/>
    </row>
    <row r="37" spans="1:6">
      <c r="A37" s="167" t="s">
        <v>78</v>
      </c>
      <c r="B37" s="33">
        <f>B60</f>
        <v>41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143</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11141.522170776612</v>
      </c>
      <c r="C5" s="17">
        <f>IF(ISERROR('Eigen informatie GS &amp; warmtenet'!B58),0,'Eigen informatie GS &amp; warmtenet'!B58)</f>
        <v>0</v>
      </c>
      <c r="D5" s="30">
        <f>SUM(D6:D12)</f>
        <v>8485.9644003250978</v>
      </c>
      <c r="E5" s="17">
        <f>SUM(E6:E12)</f>
        <v>102.23020281031079</v>
      </c>
      <c r="F5" s="17">
        <f>SUM(F6:F12)</f>
        <v>2359.1770641291041</v>
      </c>
      <c r="G5" s="18"/>
      <c r="H5" s="17"/>
      <c r="I5" s="17"/>
      <c r="J5" s="17">
        <f>SUM(J6:J12)</f>
        <v>2.3135191402377971E-2</v>
      </c>
      <c r="K5" s="17"/>
      <c r="L5" s="17"/>
      <c r="M5" s="17"/>
      <c r="N5" s="17">
        <f>SUM(N6:N12)</f>
        <v>909.21648017680877</v>
      </c>
      <c r="O5" s="17">
        <f>B38*B39*B40</f>
        <v>4.6900000000000004</v>
      </c>
      <c r="P5" s="17">
        <f>B46*B47*B48/1000-B46*B47*B48/1000/B49</f>
        <v>133.46666666666667</v>
      </c>
      <c r="R5" s="32"/>
    </row>
    <row r="6" spans="1:18">
      <c r="A6" s="32" t="s">
        <v>53</v>
      </c>
      <c r="B6" s="37">
        <f>B26</f>
        <v>5592.7842198507497</v>
      </c>
      <c r="C6" s="33"/>
      <c r="D6" s="37">
        <f>IF(ISERROR(TER_kantoor_gas_kWh/1000),0,TER_kantoor_gas_kWh/1000)*0.902</f>
        <v>3737.5705033528789</v>
      </c>
      <c r="E6" s="33">
        <f>$C$26*'E Balans VL '!I12/100/3.6*1000000</f>
        <v>-4.5924038353668746E-4</v>
      </c>
      <c r="F6" s="33">
        <f>$C$26*('E Balans VL '!L12+'E Balans VL '!N12)/100/3.6*1000000</f>
        <v>708.78126509319907</v>
      </c>
      <c r="G6" s="34"/>
      <c r="H6" s="33"/>
      <c r="I6" s="33"/>
      <c r="J6" s="33">
        <f>$C$26*('E Balans VL '!D12+'E Balans VL '!E12)/100/3.6*1000000</f>
        <v>0</v>
      </c>
      <c r="K6" s="33"/>
      <c r="L6" s="33"/>
      <c r="M6" s="33"/>
      <c r="N6" s="33">
        <f>$C$26*'E Balans VL '!Y12/100/3.6*1000000</f>
        <v>6.85988065459083</v>
      </c>
      <c r="O6" s="33"/>
      <c r="P6" s="33"/>
      <c r="R6" s="32"/>
    </row>
    <row r="7" spans="1:18">
      <c r="A7" s="32" t="s">
        <v>52</v>
      </c>
      <c r="B7" s="37">
        <f t="shared" ref="B7:B12" si="0">B27</f>
        <v>279.48714160573303</v>
      </c>
      <c r="C7" s="33"/>
      <c r="D7" s="37">
        <f>IF(ISERROR(TER_horeca_gas_kWh/1000),0,TER_horeca_gas_kWh/1000)*0.902</f>
        <v>465.01306906323686</v>
      </c>
      <c r="E7" s="33">
        <f>$C$27*'E Balans VL '!I9/100/3.6*1000000</f>
        <v>3.2170338753852183</v>
      </c>
      <c r="F7" s="33">
        <f>$C$27*('E Balans VL '!L9+'E Balans VL '!N9)/100/3.6*1000000</f>
        <v>36.035349505704929</v>
      </c>
      <c r="G7" s="34"/>
      <c r="H7" s="33"/>
      <c r="I7" s="33"/>
      <c r="J7" s="33">
        <f>$C$27*('E Balans VL '!D9+'E Balans VL '!E9)/100/3.6*1000000</f>
        <v>0</v>
      </c>
      <c r="K7" s="33"/>
      <c r="L7" s="33"/>
      <c r="M7" s="33"/>
      <c r="N7" s="33">
        <f>$C$27*'E Balans VL '!Y9/100/3.6*1000000</f>
        <v>2.949922732230819</v>
      </c>
      <c r="O7" s="33"/>
      <c r="P7" s="33"/>
      <c r="R7" s="32"/>
    </row>
    <row r="8" spans="1:18">
      <c r="A8" s="6" t="s">
        <v>51</v>
      </c>
      <c r="B8" s="37">
        <f t="shared" si="0"/>
        <v>1811.2096798458599</v>
      </c>
      <c r="C8" s="33"/>
      <c r="D8" s="37">
        <f>IF(ISERROR(TER_handel_gas_kWh/1000),0,TER_handel_gas_kWh/1000)*0.902</f>
        <v>610.54711205907427</v>
      </c>
      <c r="E8" s="33">
        <f>$C$28*'E Balans VL '!I13/100/3.6*1000000</f>
        <v>51.102203422925164</v>
      </c>
      <c r="F8" s="33">
        <f>$C$28*('E Balans VL '!L13+'E Balans VL '!N13)/100/3.6*1000000</f>
        <v>182.16886362716241</v>
      </c>
      <c r="G8" s="34"/>
      <c r="H8" s="33"/>
      <c r="I8" s="33"/>
      <c r="J8" s="33">
        <f>$C$28*('E Balans VL '!D13+'E Balans VL '!E13)/100/3.6*1000000</f>
        <v>0</v>
      </c>
      <c r="K8" s="33"/>
      <c r="L8" s="33"/>
      <c r="M8" s="33"/>
      <c r="N8" s="33">
        <f>$C$28*'E Balans VL '!Y13/100/3.6*1000000</f>
        <v>2.5001720870818724</v>
      </c>
      <c r="O8" s="33"/>
      <c r="P8" s="33"/>
      <c r="R8" s="32"/>
    </row>
    <row r="9" spans="1:18">
      <c r="A9" s="32" t="s">
        <v>50</v>
      </c>
      <c r="B9" s="37">
        <f t="shared" si="0"/>
        <v>31.1971276646787</v>
      </c>
      <c r="C9" s="33"/>
      <c r="D9" s="37">
        <f>IF(ISERROR(TER_gezond_gas_kWh/1000),0,TER_gezond_gas_kWh/1000)*0.902</f>
        <v>0</v>
      </c>
      <c r="E9" s="33">
        <f>$C$29*'E Balans VL '!I10/100/3.6*1000000</f>
        <v>6.2322256535930133E-2</v>
      </c>
      <c r="F9" s="33">
        <f>$C$29*('E Balans VL '!L10+'E Balans VL '!N10)/100/3.6*1000000</f>
        <v>2.7334941673838604</v>
      </c>
      <c r="G9" s="34"/>
      <c r="H9" s="33"/>
      <c r="I9" s="33"/>
      <c r="J9" s="33">
        <f>$C$29*('E Balans VL '!D10+'E Balans VL '!E10)/100/3.6*1000000</f>
        <v>0</v>
      </c>
      <c r="K9" s="33"/>
      <c r="L9" s="33"/>
      <c r="M9" s="33"/>
      <c r="N9" s="33">
        <f>$C$29*'E Balans VL '!Y10/100/3.6*1000000</f>
        <v>0.47190139938229519</v>
      </c>
      <c r="O9" s="33"/>
      <c r="P9" s="33"/>
      <c r="R9" s="32"/>
    </row>
    <row r="10" spans="1:18">
      <c r="A10" s="32" t="s">
        <v>49</v>
      </c>
      <c r="B10" s="37">
        <f t="shared" si="0"/>
        <v>1831.5267023983199</v>
      </c>
      <c r="C10" s="33"/>
      <c r="D10" s="37">
        <f>IF(ISERROR(TER_ander_gas_kWh/1000),0,TER_ander_gas_kWh/1000)*0.902</f>
        <v>726.156791870235</v>
      </c>
      <c r="E10" s="33">
        <f>$C$30*'E Balans VL '!I14/100/3.6*1000000</f>
        <v>25.801791570578335</v>
      </c>
      <c r="F10" s="33">
        <f>$C$30*('E Balans VL '!L14+'E Balans VL '!N14)/100/3.6*1000000</f>
        <v>1111.0275794216036</v>
      </c>
      <c r="G10" s="34"/>
      <c r="H10" s="33"/>
      <c r="I10" s="33"/>
      <c r="J10" s="33">
        <f>$C$30*('E Balans VL '!D14+'E Balans VL '!E14)/100/3.6*1000000</f>
        <v>2.0106642310990679E-2</v>
      </c>
      <c r="K10" s="33"/>
      <c r="L10" s="33"/>
      <c r="M10" s="33"/>
      <c r="N10" s="33">
        <f>$C$30*'E Balans VL '!Y14/100/3.6*1000000</f>
        <v>774.60987060307741</v>
      </c>
      <c r="O10" s="33"/>
      <c r="P10" s="33"/>
      <c r="R10" s="32"/>
    </row>
    <row r="11" spans="1:18">
      <c r="A11" s="32" t="s">
        <v>54</v>
      </c>
      <c r="B11" s="37">
        <f t="shared" si="0"/>
        <v>107.90177370183</v>
      </c>
      <c r="C11" s="33"/>
      <c r="D11" s="37">
        <f>IF(ISERROR(TER_onderwijs_gas_kWh/1000),0,TER_onderwijs_gas_kWh/1000)*0.902</f>
        <v>677.39845016901404</v>
      </c>
      <c r="E11" s="33">
        <f>$C$31*'E Balans VL '!I11/100/3.6*1000000</f>
        <v>2.8162893309229986</v>
      </c>
      <c r="F11" s="33">
        <f>$C$31*('E Balans VL '!L11+'E Balans VL '!N11)/100/3.6*1000000</f>
        <v>13.278219959861568</v>
      </c>
      <c r="G11" s="34"/>
      <c r="H11" s="33"/>
      <c r="I11" s="33"/>
      <c r="J11" s="33">
        <f>$C$31*('E Balans VL '!D11+'E Balans VL '!E11)/100/3.6*1000000</f>
        <v>0</v>
      </c>
      <c r="K11" s="33"/>
      <c r="L11" s="33"/>
      <c r="M11" s="33"/>
      <c r="N11" s="33">
        <f>$C$31*'E Balans VL '!Y11/100/3.6*1000000</f>
        <v>0.34169308343397892</v>
      </c>
      <c r="O11" s="33"/>
      <c r="P11" s="33"/>
      <c r="R11" s="32"/>
    </row>
    <row r="12" spans="1:18">
      <c r="A12" s="32" t="s">
        <v>248</v>
      </c>
      <c r="B12" s="37">
        <f t="shared" si="0"/>
        <v>1487.4155257094401</v>
      </c>
      <c r="C12" s="33"/>
      <c r="D12" s="37">
        <f>IF(ISERROR(TER_rest_gas_kWh/1000),0,TER_rest_gas_kWh/1000)*0.902</f>
        <v>2269.2784738106575</v>
      </c>
      <c r="E12" s="33">
        <f>$C$32*'E Balans VL '!I8/100/3.6*1000000</f>
        <v>19.231021594346672</v>
      </c>
      <c r="F12" s="33">
        <f>$C$32*('E Balans VL '!L8+'E Balans VL '!N8)/100/3.6*1000000</f>
        <v>305.15229235418872</v>
      </c>
      <c r="G12" s="34"/>
      <c r="H12" s="33"/>
      <c r="I12" s="33"/>
      <c r="J12" s="33">
        <f>$C$32*('E Balans VL '!D8+'E Balans VL '!E8)/100/3.6*1000000</f>
        <v>3.0285490913872903E-3</v>
      </c>
      <c r="K12" s="33"/>
      <c r="L12" s="33"/>
      <c r="M12" s="33"/>
      <c r="N12" s="33">
        <f>$C$32*'E Balans VL '!Y8/100/3.6*1000000</f>
        <v>121.48303961701168</v>
      </c>
      <c r="O12" s="33"/>
      <c r="P12" s="33"/>
      <c r="R12" s="32"/>
    </row>
    <row r="13" spans="1:18">
      <c r="A13" s="16" t="s">
        <v>473</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11141.522170776612</v>
      </c>
      <c r="C16" s="21">
        <f t="shared" ca="1" si="1"/>
        <v>0</v>
      </c>
      <c r="D16" s="21">
        <f t="shared" ca="1" si="1"/>
        <v>8485.9644003250978</v>
      </c>
      <c r="E16" s="21">
        <f t="shared" si="1"/>
        <v>102.23020281031079</v>
      </c>
      <c r="F16" s="21">
        <f t="shared" ca="1" si="1"/>
        <v>2359.1770641291041</v>
      </c>
      <c r="G16" s="21">
        <f t="shared" si="1"/>
        <v>0</v>
      </c>
      <c r="H16" s="21">
        <f t="shared" si="1"/>
        <v>0</v>
      </c>
      <c r="I16" s="21">
        <f t="shared" si="1"/>
        <v>0</v>
      </c>
      <c r="J16" s="21">
        <f t="shared" si="1"/>
        <v>2.3135191402377971E-2</v>
      </c>
      <c r="K16" s="21">
        <f t="shared" si="1"/>
        <v>0</v>
      </c>
      <c r="L16" s="21">
        <f t="shared" ca="1" si="1"/>
        <v>0</v>
      </c>
      <c r="M16" s="21">
        <f t="shared" si="1"/>
        <v>0</v>
      </c>
      <c r="N16" s="21">
        <f t="shared" ca="1" si="1"/>
        <v>909.21648017680877</v>
      </c>
      <c r="O16" s="21">
        <f>O5</f>
        <v>4.6900000000000004</v>
      </c>
      <c r="P16" s="21">
        <f>P5</f>
        <v>133.46666666666667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0.20509836005698071</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2285.1079257647748</v>
      </c>
      <c r="C20" s="23">
        <f t="shared" ref="C20:P20" ca="1" si="2">C16*C18</f>
        <v>0</v>
      </c>
      <c r="D20" s="23">
        <f t="shared" ca="1" si="2"/>
        <v>1714.1648088656698</v>
      </c>
      <c r="E20" s="23">
        <f t="shared" si="2"/>
        <v>23.206256037940548</v>
      </c>
      <c r="F20" s="23">
        <f t="shared" ca="1" si="2"/>
        <v>629.90027612247081</v>
      </c>
      <c r="G20" s="23">
        <f t="shared" si="2"/>
        <v>0</v>
      </c>
      <c r="H20" s="23">
        <f t="shared" si="2"/>
        <v>0</v>
      </c>
      <c r="I20" s="23">
        <f t="shared" si="2"/>
        <v>0</v>
      </c>
      <c r="J20" s="23">
        <f t="shared" si="2"/>
        <v>8.1898577564418016E-3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5592.7842198507497</v>
      </c>
      <c r="C26" s="39">
        <f>IF(ISERROR(B26*3.6/1000000/'E Balans VL '!Z12*100),0,B26*3.6/1000000/'E Balans VL '!Z12*100)</f>
        <v>0.15162518662873162</v>
      </c>
      <c r="D26" s="232" t="s">
        <v>700</v>
      </c>
      <c r="F26" s="6"/>
    </row>
    <row r="27" spans="1:18">
      <c r="A27" s="227" t="s">
        <v>52</v>
      </c>
      <c r="B27" s="33">
        <f>IF(ISERROR(TER_horeca_ele_kWh/1000),0,TER_horeca_ele_kWh/1000)</f>
        <v>279.48714160573303</v>
      </c>
      <c r="C27" s="39">
        <f>IF(ISERROR(B27*3.6/1000000/'E Balans VL '!Z9*100),0,B27*3.6/1000000/'E Balans VL '!Z9*100)</f>
        <v>2.1618623579747417E-2</v>
      </c>
      <c r="D27" s="232" t="s">
        <v>700</v>
      </c>
      <c r="F27" s="6"/>
    </row>
    <row r="28" spans="1:18">
      <c r="A28" s="167" t="s">
        <v>51</v>
      </c>
      <c r="B28" s="33">
        <f>IF(ISERROR(TER_handel_ele_kWh/1000),0,TER_handel_ele_kWh/1000)</f>
        <v>1811.2096798458599</v>
      </c>
      <c r="C28" s="39">
        <f>IF(ISERROR(B28*3.6/1000000/'E Balans VL '!Z13*100),0,B28*3.6/1000000/'E Balans VL '!Z13*100)</f>
        <v>5.2384868284248723E-2</v>
      </c>
      <c r="D28" s="232" t="s">
        <v>700</v>
      </c>
      <c r="F28" s="6"/>
    </row>
    <row r="29" spans="1:18">
      <c r="A29" s="227" t="s">
        <v>50</v>
      </c>
      <c r="B29" s="33">
        <f>IF(ISERROR(TER_gezond_ele_kWh/1000),0,TER_gezond_ele_kWh/1000)</f>
        <v>31.1971276646787</v>
      </c>
      <c r="C29" s="39">
        <f>IF(ISERROR(B29*3.6/1000000/'E Balans VL '!Z10*100),0,B29*3.6/1000000/'E Balans VL '!Z10*100)</f>
        <v>3.212998199679826E-3</v>
      </c>
      <c r="D29" s="232" t="s">
        <v>700</v>
      </c>
      <c r="F29" s="6"/>
    </row>
    <row r="30" spans="1:18">
      <c r="A30" s="227" t="s">
        <v>49</v>
      </c>
      <c r="B30" s="33">
        <f>IF(ISERROR(TER_ander_ele_kWh/1000),0,TER_ander_ele_kWh/1000)</f>
        <v>1831.5267023983199</v>
      </c>
      <c r="C30" s="39">
        <f>IF(ISERROR(B30*3.6/1000000/'E Balans VL '!Z14*100),0,B30*3.6/1000000/'E Balans VL '!Z14*100)</f>
        <v>8.2348023116685362E-2</v>
      </c>
      <c r="D30" s="232" t="s">
        <v>700</v>
      </c>
      <c r="F30" s="6"/>
    </row>
    <row r="31" spans="1:18">
      <c r="A31" s="227" t="s">
        <v>54</v>
      </c>
      <c r="B31" s="33">
        <f>IF(ISERROR(TER_onderwijs_ele_kWh/1000),0,TER_onderwijs_ele_kWh/1000)</f>
        <v>107.90177370183</v>
      </c>
      <c r="C31" s="39">
        <f>IF(ISERROR(B31*3.6/1000000/'E Balans VL '!Z11*100),0,B31*3.6/1000000/'E Balans VL '!Z11*100)</f>
        <v>3.0154977254665916E-2</v>
      </c>
      <c r="D31" s="232" t="s">
        <v>700</v>
      </c>
    </row>
    <row r="32" spans="1:18">
      <c r="A32" s="227" t="s">
        <v>248</v>
      </c>
      <c r="B32" s="33">
        <f>IF(ISERROR(TER_rest_ele_kWh/1000),0,TER_rest_ele_kWh/1000)</f>
        <v>1487.4155257094401</v>
      </c>
      <c r="C32" s="39">
        <f>IF(ISERROR(B32*3.6/1000000/'E Balans VL '!Z8*100),0,B32*3.6/1000000/'E Balans VL '!Z8*100)</f>
        <v>1.2403614026159551E-2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7</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323684.70392215438</v>
      </c>
      <c r="C5" s="17">
        <f>IF(ISERROR('Eigen informatie GS &amp; warmtenet'!B59),0,'Eigen informatie GS &amp; warmtenet'!B59)</f>
        <v>0</v>
      </c>
      <c r="D5" s="30">
        <f>SUM(D6:D15)</f>
        <v>359100.22077003308</v>
      </c>
      <c r="E5" s="17">
        <f>SUM(E6:E15)</f>
        <v>3205.647028098203</v>
      </c>
      <c r="F5" s="17">
        <f>SUM(F6:F15)</f>
        <v>119789.88995953718</v>
      </c>
      <c r="G5" s="18"/>
      <c r="H5" s="17"/>
      <c r="I5" s="17"/>
      <c r="J5" s="17">
        <f>SUM(J6:J15)</f>
        <v>124.4597587376836</v>
      </c>
      <c r="K5" s="17"/>
      <c r="L5" s="17"/>
      <c r="M5" s="17"/>
      <c r="N5" s="17">
        <f>SUM(N6:N15)</f>
        <v>8377.2172099049058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317.514857959349</v>
      </c>
      <c r="C8" s="33"/>
      <c r="D8" s="37">
        <f>IF( ISERROR(IND_metaal_Gas_kWH/1000),0,IND_metaal_Gas_kWH/1000)*0.902</f>
        <v>31.989161937010476</v>
      </c>
      <c r="E8" s="33">
        <f>C30*'E Balans VL '!I18/100/3.6*1000000</f>
        <v>2.8815446172608765</v>
      </c>
      <c r="F8" s="33">
        <f>C30*'E Balans VL '!L18/100/3.6*1000000+C30*'E Balans VL '!N18/100/3.6*1000000</f>
        <v>29.224729135612851</v>
      </c>
      <c r="G8" s="34"/>
      <c r="H8" s="33"/>
      <c r="I8" s="33"/>
      <c r="J8" s="40">
        <f>C30*'E Balans VL '!D18/100/3.6*1000000+C30*'E Balans VL '!E18/100/3.6*1000000</f>
        <v>0</v>
      </c>
      <c r="K8" s="33"/>
      <c r="L8" s="33"/>
      <c r="M8" s="33"/>
      <c r="N8" s="33">
        <f>C30*'E Balans VL '!Y18/100/3.6*1000000</f>
        <v>4.6354668873529503</v>
      </c>
      <c r="O8" s="33"/>
      <c r="P8" s="33"/>
      <c r="R8" s="32"/>
    </row>
    <row r="9" spans="1:18">
      <c r="A9" s="6" t="s">
        <v>32</v>
      </c>
      <c r="B9" s="37">
        <f t="shared" si="0"/>
        <v>151986.637851882</v>
      </c>
      <c r="C9" s="33"/>
      <c r="D9" s="37">
        <f>IF( ISERROR(IND_andere_gas_kWh/1000),0,IND_andere_gas_kWh/1000)*0.902</f>
        <v>53485.804687570075</v>
      </c>
      <c r="E9" s="33">
        <f>C31*'E Balans VL '!I19/100/3.6*1000000</f>
        <v>882.16479450747283</v>
      </c>
      <c r="F9" s="33">
        <f>C31*'E Balans VL '!L19/100/3.6*1000000+C31*'E Balans VL '!N19/100/3.6*1000000</f>
        <v>100233.48104413591</v>
      </c>
      <c r="G9" s="34"/>
      <c r="H9" s="33"/>
      <c r="I9" s="33"/>
      <c r="J9" s="40">
        <f>C31*'E Balans VL '!D19/100/3.6*1000000+C31*'E Balans VL '!E19/100/3.6*1000000</f>
        <v>0</v>
      </c>
      <c r="K9" s="33"/>
      <c r="L9" s="33"/>
      <c r="M9" s="33"/>
      <c r="N9" s="33">
        <f>C31*'E Balans VL '!Y19/100/3.6*1000000</f>
        <v>7038.6333146267843</v>
      </c>
      <c r="O9" s="33"/>
      <c r="P9" s="33"/>
      <c r="R9" s="32"/>
    </row>
    <row r="10" spans="1:18">
      <c r="A10" s="6" t="s">
        <v>40</v>
      </c>
      <c r="B10" s="37">
        <f t="shared" si="0"/>
        <v>14402.6106264963</v>
      </c>
      <c r="C10" s="33"/>
      <c r="D10" s="37">
        <f>IF( ISERROR(IND_voed_gas_kWh/1000),0,IND_voed_gas_kWh/1000)*0.902</f>
        <v>783.24511338378102</v>
      </c>
      <c r="E10" s="33">
        <f>C32*'E Balans VL '!I20/100/3.6*1000000</f>
        <v>30.52249142940823</v>
      </c>
      <c r="F10" s="33">
        <f>C32*'E Balans VL '!L20/100/3.6*1000000+C32*'E Balans VL '!N20/100/3.6*1000000</f>
        <v>915.34540014570928</v>
      </c>
      <c r="G10" s="34"/>
      <c r="H10" s="33"/>
      <c r="I10" s="33"/>
      <c r="J10" s="40">
        <f>C32*'E Balans VL '!D20/100/3.6*1000000+C32*'E Balans VL '!E20/100/3.6*1000000</f>
        <v>0</v>
      </c>
      <c r="K10" s="33"/>
      <c r="L10" s="33"/>
      <c r="M10" s="33"/>
      <c r="N10" s="33">
        <f>C32*'E Balans VL '!Y20/100/3.6*1000000</f>
        <v>417.51572991274259</v>
      </c>
      <c r="O10" s="33"/>
      <c r="P10" s="33"/>
      <c r="R10" s="32"/>
    </row>
    <row r="11" spans="1:18">
      <c r="A11" s="6" t="s">
        <v>39</v>
      </c>
      <c r="B11" s="37">
        <f t="shared" si="0"/>
        <v>121023.49611466899</v>
      </c>
      <c r="C11" s="33"/>
      <c r="D11" s="37">
        <f>IF( ISERROR(IND_textiel_gas_kWh/1000),0,IND_textiel_gas_kWh/1000)*0.902</f>
        <v>111113.28966134587</v>
      </c>
      <c r="E11" s="33">
        <f>C33*'E Balans VL '!I21/100/3.6*1000000</f>
        <v>378.85335012620271</v>
      </c>
      <c r="F11" s="33">
        <f>C33*'E Balans VL '!L21/100/3.6*1000000+C33*'E Balans VL '!N21/100/3.6*1000000</f>
        <v>12370.594394266929</v>
      </c>
      <c r="G11" s="34"/>
      <c r="H11" s="33"/>
      <c r="I11" s="33"/>
      <c r="J11" s="40">
        <f>C33*'E Balans VL '!D21/100/3.6*1000000+C33*'E Balans VL '!E21/100/3.6*1000000</f>
        <v>0</v>
      </c>
      <c r="K11" s="33"/>
      <c r="L11" s="33"/>
      <c r="M11" s="33"/>
      <c r="N11" s="33">
        <f>C33*'E Balans VL '!Y21/100/3.6*1000000</f>
        <v>16.70872686083667</v>
      </c>
      <c r="O11" s="33"/>
      <c r="P11" s="33"/>
      <c r="R11" s="32"/>
    </row>
    <row r="12" spans="1:18">
      <c r="A12" s="6" t="s">
        <v>36</v>
      </c>
      <c r="B12" s="37">
        <f t="shared" si="0"/>
        <v>95.708167139629992</v>
      </c>
      <c r="C12" s="33"/>
      <c r="D12" s="37">
        <f>IF( ISERROR(IND_min_gas_kWh/1000),0,IND_min_gas_kWh/1000)*0.902</f>
        <v>0</v>
      </c>
      <c r="E12" s="33">
        <f>C34*'E Balans VL '!I22/100/3.6*1000000</f>
        <v>2.3326963667288543</v>
      </c>
      <c r="F12" s="33">
        <f>C34*'E Balans VL '!L22/100/3.6*1000000+C34*'E Balans VL '!N22/100/3.6*1000000</f>
        <v>26.998387800600984</v>
      </c>
      <c r="G12" s="34"/>
      <c r="H12" s="33"/>
      <c r="I12" s="33"/>
      <c r="J12" s="40">
        <f>C34*'E Balans VL '!D22/100/3.6*1000000+C34*'E Balans VL '!E22/100/3.6*1000000</f>
        <v>0.16362853473240757</v>
      </c>
      <c r="K12" s="33"/>
      <c r="L12" s="33"/>
      <c r="M12" s="33"/>
      <c r="N12" s="33">
        <f>C34*'E Balans VL '!Y22/100/3.6*1000000</f>
        <v>21.798177982559178</v>
      </c>
      <c r="O12" s="33"/>
      <c r="P12" s="33"/>
      <c r="R12" s="32"/>
    </row>
    <row r="13" spans="1:18">
      <c r="A13" s="6" t="s">
        <v>38</v>
      </c>
      <c r="B13" s="37">
        <f t="shared" si="0"/>
        <v>590.20771941763303</v>
      </c>
      <c r="C13" s="33"/>
      <c r="D13" s="37">
        <f>IF( ISERROR(IND_papier_gas_kWh/1000),0,IND_papier_gas_kWh/1000)*0.902</f>
        <v>73.464316572312413</v>
      </c>
      <c r="E13" s="33">
        <f>C35*'E Balans VL '!I23/100/3.6*1000000</f>
        <v>0.87118444355994606</v>
      </c>
      <c r="F13" s="33">
        <f>C35*'E Balans VL '!L23/100/3.6*1000000+C35*'E Balans VL '!N23/100/3.6*1000000</f>
        <v>15.284598155054054</v>
      </c>
      <c r="G13" s="34"/>
      <c r="H13" s="33"/>
      <c r="I13" s="33"/>
      <c r="J13" s="40">
        <f>C35*'E Balans VL '!D23/100/3.6*1000000+C35*'E Balans VL '!E23/100/3.6*1000000</f>
        <v>9.4967281341197918E-2</v>
      </c>
      <c r="K13" s="33"/>
      <c r="L13" s="33"/>
      <c r="M13" s="33"/>
      <c r="N13" s="33">
        <f>C35*'E Balans VL '!Y23/100/3.6*1000000</f>
        <v>-26.805445202107094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35268.528584590502</v>
      </c>
      <c r="C15" s="33"/>
      <c r="D15" s="37">
        <f>IF( ISERROR(IND_rest_gas_kWh/1000),0,IND_rest_gas_kWh/1000)*0.902</f>
        <v>193612.42782922401</v>
      </c>
      <c r="E15" s="33">
        <f>C37*'E Balans VL '!I15/100/3.6*1000000</f>
        <v>1908.0209666075693</v>
      </c>
      <c r="F15" s="33">
        <f>C37*'E Balans VL '!L15/100/3.6*1000000+C37*'E Balans VL '!N15/100/3.6*1000000</f>
        <v>6198.9614058973584</v>
      </c>
      <c r="G15" s="34"/>
      <c r="H15" s="33"/>
      <c r="I15" s="33"/>
      <c r="J15" s="40">
        <f>C37*'E Balans VL '!D15/100/3.6*1000000+C37*'E Balans VL '!E15/100/3.6*1000000</f>
        <v>124.20116292160999</v>
      </c>
      <c r="K15" s="33"/>
      <c r="L15" s="33"/>
      <c r="M15" s="33"/>
      <c r="N15" s="33">
        <f>C37*'E Balans VL '!Y15/100/3.6*1000000</f>
        <v>904.73123883673736</v>
      </c>
      <c r="O15" s="33"/>
      <c r="P15" s="33"/>
      <c r="R15" s="32"/>
    </row>
    <row r="16" spans="1:18">
      <c r="A16" s="16" t="s">
        <v>473</v>
      </c>
      <c r="B16" s="242">
        <f>'lokale energieproductie'!N38+'lokale energieproductie'!N31</f>
        <v>1893</v>
      </c>
      <c r="C16" s="242">
        <f>'lokale energieproductie'!O38+'lokale energieproductie'!O31</f>
        <v>2704.2857142857147</v>
      </c>
      <c r="D16" s="300">
        <f>('lokale energieproductie'!P31+'lokale energieproductie'!P38)*(-1)</f>
        <v>-5408.5714285714294</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325577.70392215438</v>
      </c>
      <c r="C18" s="21">
        <f>C5+C16</f>
        <v>2704.2857142857147</v>
      </c>
      <c r="D18" s="21">
        <f>MAX((D5+D16),0)</f>
        <v>353691.64934146166</v>
      </c>
      <c r="E18" s="21">
        <f>MAX((E5+E16),0)</f>
        <v>3205.647028098203</v>
      </c>
      <c r="F18" s="21">
        <f>MAX((F5+F16),0)</f>
        <v>119789.88995953718</v>
      </c>
      <c r="G18" s="21"/>
      <c r="H18" s="21"/>
      <c r="I18" s="21"/>
      <c r="J18" s="21">
        <f>MAX((J5+J16),0)</f>
        <v>124.4597587376836</v>
      </c>
      <c r="K18" s="21"/>
      <c r="L18" s="21">
        <f>MAX((L5+L16),0)</f>
        <v>0</v>
      </c>
      <c r="M18" s="21"/>
      <c r="N18" s="21">
        <f>MAX((N5+N16),0)</f>
        <v>8377.2172099049058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0.20509836005698071</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66775.453145551073</v>
      </c>
      <c r="C22" s="23">
        <f ca="1">C18*C20</f>
        <v>642.66554621848752</v>
      </c>
      <c r="D22" s="23">
        <f>D18*D20</f>
        <v>71445.713166975256</v>
      </c>
      <c r="E22" s="23">
        <f>E18*E20</f>
        <v>727.68187537829215</v>
      </c>
      <c r="F22" s="23">
        <f>F18*F20</f>
        <v>31983.900619196429</v>
      </c>
      <c r="G22" s="23"/>
      <c r="H22" s="23"/>
      <c r="I22" s="23"/>
      <c r="J22" s="23">
        <f>J18*J20</f>
        <v>44.058754593139994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317.514857959349</v>
      </c>
      <c r="C30" s="39">
        <f>IF(ISERROR(B30*3.6/1000000/'E Balans VL '!Z18*100),0,B30*3.6/1000000/'E Balans VL '!Z18*100)</f>
        <v>1.8413835574908336E-2</v>
      </c>
      <c r="D30" s="232" t="s">
        <v>700</v>
      </c>
    </row>
    <row r="31" spans="1:18">
      <c r="A31" s="6" t="s">
        <v>32</v>
      </c>
      <c r="B31" s="37">
        <f>IF( ISERROR(IND_ander_ele_kWh/1000),0,IND_ander_ele_kWh/1000)</f>
        <v>151986.637851882</v>
      </c>
      <c r="C31" s="39">
        <f>IF(ISERROR(B31*3.6/1000000/'E Balans VL '!Z19*100),0,B31*3.6/1000000/'E Balans VL '!Z19*100)</f>
        <v>6.3475339349801319</v>
      </c>
      <c r="D31" s="232" t="s">
        <v>700</v>
      </c>
    </row>
    <row r="32" spans="1:18">
      <c r="A32" s="167" t="s">
        <v>40</v>
      </c>
      <c r="B32" s="37">
        <f>IF( ISERROR(IND_voed_ele_kWh/1000),0,IND_voed_ele_kWh/1000)</f>
        <v>14402.6106264963</v>
      </c>
      <c r="C32" s="39">
        <f>IF(ISERROR(B32*3.6/1000000/'E Balans VL '!Z20*100),0,B32*3.6/1000000/'E Balans VL '!Z20*100)</f>
        <v>0.44671223374974878</v>
      </c>
      <c r="D32" s="232" t="s">
        <v>700</v>
      </c>
    </row>
    <row r="33" spans="1:5">
      <c r="A33" s="167" t="s">
        <v>39</v>
      </c>
      <c r="B33" s="37">
        <f>IF( ISERROR(IND_textiel_ele_kWh/1000),0,IND_textiel_ele_kWh/1000)</f>
        <v>121023.49611466899</v>
      </c>
      <c r="C33" s="39">
        <f>IF(ISERROR(B33*3.6/1000000/'E Balans VL '!Z21*100),0,B33*3.6/1000000/'E Balans VL '!Z21*100)</f>
        <v>16.773958923316229</v>
      </c>
      <c r="D33" s="232" t="s">
        <v>700</v>
      </c>
    </row>
    <row r="34" spans="1:5">
      <c r="A34" s="167" t="s">
        <v>36</v>
      </c>
      <c r="B34" s="37">
        <f>IF( ISERROR(IND_min_ele_kWh/1000),0,IND_min_ele_kWh/1000)</f>
        <v>95.708167139629992</v>
      </c>
      <c r="C34" s="39">
        <f>IF(ISERROR(B34*3.6/1000000/'E Balans VL '!Z22*100),0,B34*3.6/1000000/'E Balans VL '!Z22*100)</f>
        <v>1.7910085893483422E-2</v>
      </c>
      <c r="D34" s="232" t="s">
        <v>700</v>
      </c>
    </row>
    <row r="35" spans="1:5">
      <c r="A35" s="167" t="s">
        <v>38</v>
      </c>
      <c r="B35" s="37">
        <f>IF( ISERROR(IND_papier_ele_kWh/1000),0,IND_papier_ele_kWh/1000)</f>
        <v>590.20771941763303</v>
      </c>
      <c r="C35" s="39">
        <f>IF(ISERROR(B35*3.6/1000000/'E Balans VL '!Z22*100),0,B35*3.6/1000000/'E Balans VL '!Z22*100)</f>
        <v>0.11044690610724026</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35268.528584590502</v>
      </c>
      <c r="C37" s="39">
        <f>IF(ISERROR(B37*3.6/1000000/'E Balans VL '!Z15*100),0,B37*3.6/1000000/'E Balans VL '!Z15*100)</f>
        <v>0.27498658623772759</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1086.891870964826</v>
      </c>
      <c r="C5" s="17">
        <f>'Eigen informatie GS &amp; warmtenet'!B60</f>
        <v>0</v>
      </c>
      <c r="D5" s="30">
        <f>IF(ISERROR(SUM(LB_lb_gas_kWh,LB_rest_gas_kWh)/1000),0,SUM(LB_lb_gas_kWh,LB_rest_gas_kWh)/1000)*0.902</f>
        <v>327.51313677742957</v>
      </c>
      <c r="E5" s="17">
        <f>B17*'E Balans VL '!I25/3.6*1000000/100</f>
        <v>35.273214113797628</v>
      </c>
      <c r="F5" s="17">
        <f>B17*('E Balans VL '!L25/3.6*1000000+'E Balans VL '!N25/3.6*1000000)/100</f>
        <v>4009.7550200356609</v>
      </c>
      <c r="G5" s="18"/>
      <c r="H5" s="17"/>
      <c r="I5" s="17"/>
      <c r="J5" s="17">
        <f>('E Balans VL '!D25+'E Balans VL '!E25)/3.6*1000000*landbouw!B17/100</f>
        <v>285.8413250426006</v>
      </c>
      <c r="K5" s="17"/>
      <c r="L5" s="17">
        <f>L6*(-1)</f>
        <v>0</v>
      </c>
      <c r="M5" s="17"/>
      <c r="N5" s="17">
        <f>N6*(-1)</f>
        <v>0</v>
      </c>
      <c r="O5" s="17"/>
      <c r="P5" s="17"/>
      <c r="R5" s="32"/>
    </row>
    <row r="6" spans="1:18">
      <c r="A6" s="16" t="s">
        <v>473</v>
      </c>
      <c r="B6" s="17" t="s">
        <v>204</v>
      </c>
      <c r="C6" s="17">
        <f>'lokale energieproductie'!O40+'lokale energieproductie'!O33</f>
        <v>0</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1086.891870964826</v>
      </c>
      <c r="C8" s="21">
        <f>C5+C6</f>
        <v>0</v>
      </c>
      <c r="D8" s="21">
        <f>MAX((D5+D6),0)</f>
        <v>327.51313677742957</v>
      </c>
      <c r="E8" s="21">
        <f>MAX((E5+E6),0)</f>
        <v>35.273214113797628</v>
      </c>
      <c r="F8" s="21">
        <f>MAX((F5+F6),0)</f>
        <v>4009.7550200356609</v>
      </c>
      <c r="G8" s="21"/>
      <c r="H8" s="21"/>
      <c r="I8" s="21"/>
      <c r="J8" s="21">
        <f>MAX((J5+J6),0)</f>
        <v>285.8413250426006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0.20509836005698071</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222.91974029414931</v>
      </c>
      <c r="C12" s="23">
        <f ca="1">C8*C10</f>
        <v>0</v>
      </c>
      <c r="D12" s="23">
        <f>D8*D10</f>
        <v>66.15765362904078</v>
      </c>
      <c r="E12" s="23">
        <f>E8*E10</f>
        <v>8.0070196038320613</v>
      </c>
      <c r="F12" s="23">
        <f>F8*F10</f>
        <v>1070.6045903495215</v>
      </c>
      <c r="G12" s="23"/>
      <c r="H12" s="23"/>
      <c r="I12" s="23"/>
      <c r="J12" s="23">
        <f>J8*J10</f>
        <v>101.18782906508061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0.154233366509159</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202.10084593221171</v>
      </c>
      <c r="C26" s="242">
        <f>B26*'GWP N2O_CH4'!B5</f>
        <v>4244.1177645764456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119.71220509723341</v>
      </c>
      <c r="C27" s="242">
        <f>B27*'GWP N2O_CH4'!B5</f>
        <v>2513.9563070419017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3.6636177755853638</v>
      </c>
      <c r="C28" s="242">
        <f>B28*'GWP N2O_CH4'!B4</f>
        <v>1135.7215104314628</v>
      </c>
      <c r="D28" s="50"/>
    </row>
    <row r="29" spans="1:4">
      <c r="A29" s="41" t="s">
        <v>265</v>
      </c>
      <c r="B29" s="242">
        <f>B34*'ha_N2O bodem landbouw'!B4</f>
        <v>6.5644061740613235</v>
      </c>
      <c r="C29" s="242">
        <f>B29*'GWP N2O_CH4'!B4</f>
        <v>2034.9659139590103</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1.4979748669707337E-3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7.7526466308349331E-5</v>
      </c>
      <c r="C5" s="427" t="s">
        <v>204</v>
      </c>
      <c r="D5" s="412">
        <f>SUM(D6:D11)</f>
        <v>1.4284477403764961E-4</v>
      </c>
      <c r="E5" s="412">
        <f>SUM(E6:E11)</f>
        <v>2.4271152417259162E-4</v>
      </c>
      <c r="F5" s="425" t="s">
        <v>204</v>
      </c>
      <c r="G5" s="412">
        <f>SUM(G6:G11)</f>
        <v>0.1472001468520929</v>
      </c>
      <c r="H5" s="412">
        <f>SUM(H6:H11)</f>
        <v>2.448398478878961E-2</v>
      </c>
      <c r="I5" s="427" t="s">
        <v>204</v>
      </c>
      <c r="J5" s="427" t="s">
        <v>204</v>
      </c>
      <c r="K5" s="427" t="s">
        <v>204</v>
      </c>
      <c r="L5" s="427" t="s">
        <v>204</v>
      </c>
      <c r="M5" s="412">
        <f>SUM(M6:M11)</f>
        <v>9.3210364464441017E-3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4.252041517862439E-5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7.1845109459066703E-5</v>
      </c>
      <c r="E6" s="818">
        <f>vkm_GW_PW*SUMIFS(TableVerdeelsleutelVkm[LPG],TableVerdeelsleutelVkm[Voertuigtype],"Lichte voertuigen")*SUMIFS(TableECFTransport[EnergieConsumptieFactor (PJ per km)],TableECFTransport[Index],CONCATENATE($A6,"_LPG_LPG"))</f>
        <v>1.2488839262615316E-4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3.7825381964013409E-2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1.2456592205654409E-2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2.5766978594078953E-3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1.5433824213465917E-6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4.9573814966951603E-2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9.8904303823212242E-7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2.8963824071013226E-3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3.2820299344275524E-5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7.0999664578582909E-5</v>
      </c>
      <c r="E8" s="415">
        <f>vkm_NGW_PW*SUMIFS(TableVerdeelsleutelVkm[LPG],TableVerdeelsleutelVkm[Voertuigtype],"Lichte voertuigen")*SUMIFS(TableECFTransport[EnergieConsumptieFactor (PJ per km)],TableECFTransport[Index],CONCATENATE($A8,"_LPG_LPG"))</f>
        <v>1.1782313154643846E-4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3.3327369657312117E-2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1.2025906669946202E-2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2.3012209429313429E-3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6.4236936410281786E-7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2.6473580263815782E-2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4.968701507660136E-7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1.546735237003542E-3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21.535129530097038</v>
      </c>
      <c r="C14" s="21"/>
      <c r="D14" s="21">
        <f t="shared" ref="D14:M14" si="0">((D5)*10^9/3600)+D12</f>
        <v>39.679103899347119</v>
      </c>
      <c r="E14" s="21">
        <f t="shared" si="0"/>
        <v>67.419867825719891</v>
      </c>
      <c r="F14" s="21"/>
      <c r="G14" s="21">
        <f t="shared" si="0"/>
        <v>40888.929681136913</v>
      </c>
      <c r="H14" s="21">
        <f t="shared" si="0"/>
        <v>6801.1068857748924</v>
      </c>
      <c r="I14" s="21"/>
      <c r="J14" s="21"/>
      <c r="K14" s="21"/>
      <c r="L14" s="21"/>
      <c r="M14" s="21">
        <f t="shared" si="0"/>
        <v>2589.1767906789173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0.20509836005698071</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4.4168197502375603</v>
      </c>
      <c r="C18" s="23"/>
      <c r="D18" s="23">
        <f t="shared" ref="D18:M18" si="1">D14*D16</f>
        <v>8.0151789876681185</v>
      </c>
      <c r="E18" s="23">
        <f t="shared" si="1"/>
        <v>15.304309996438416</v>
      </c>
      <c r="F18" s="23"/>
      <c r="G18" s="23">
        <f t="shared" si="1"/>
        <v>10917.344224863557</v>
      </c>
      <c r="H18" s="23">
        <f t="shared" si="1"/>
        <v>1693.4756145579481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1.4109674457126965E-5</v>
      </c>
      <c r="C50" s="311">
        <f t="shared" ref="C50:P50" si="2">SUM(C51:C52)</f>
        <v>0</v>
      </c>
      <c r="D50" s="311">
        <f t="shared" si="2"/>
        <v>0</v>
      </c>
      <c r="E50" s="311">
        <f t="shared" si="2"/>
        <v>0</v>
      </c>
      <c r="F50" s="311">
        <f t="shared" si="2"/>
        <v>0</v>
      </c>
      <c r="G50" s="311">
        <f t="shared" si="2"/>
        <v>1.3254638885892868E-3</v>
      </c>
      <c r="H50" s="311">
        <f t="shared" si="2"/>
        <v>0</v>
      </c>
      <c r="I50" s="311">
        <f t="shared" si="2"/>
        <v>0</v>
      </c>
      <c r="J50" s="311">
        <f t="shared" si="2"/>
        <v>0</v>
      </c>
      <c r="K50" s="311">
        <f t="shared" si="2"/>
        <v>0</v>
      </c>
      <c r="L50" s="311">
        <f t="shared" si="2"/>
        <v>0</v>
      </c>
      <c r="M50" s="311">
        <f t="shared" si="2"/>
        <v>7.6329485659019274E-5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1.4109674457126965E-5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1.3254638885892868E-3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7.6329485659019274E-5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3.9193540158686013</v>
      </c>
      <c r="C54" s="21">
        <f t="shared" ref="C54:P54" si="3">(C50)*10^9/3600</f>
        <v>0</v>
      </c>
      <c r="D54" s="21">
        <f t="shared" si="3"/>
        <v>0</v>
      </c>
      <c r="E54" s="21">
        <f t="shared" si="3"/>
        <v>0</v>
      </c>
      <c r="F54" s="21">
        <f t="shared" si="3"/>
        <v>0</v>
      </c>
      <c r="G54" s="21">
        <f t="shared" si="3"/>
        <v>368.18441349702408</v>
      </c>
      <c r="H54" s="21">
        <f t="shared" si="3"/>
        <v>0</v>
      </c>
      <c r="I54" s="21">
        <f t="shared" si="3"/>
        <v>0</v>
      </c>
      <c r="J54" s="21">
        <f t="shared" si="3"/>
        <v>0</v>
      </c>
      <c r="K54" s="21">
        <f t="shared" si="3"/>
        <v>0</v>
      </c>
      <c r="L54" s="21">
        <f t="shared" si="3"/>
        <v>0</v>
      </c>
      <c r="M54" s="21">
        <f t="shared" si="3"/>
        <v>21.202634905283134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0.20509836005698071</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0.80385308113739162</v>
      </c>
      <c r="C58" s="23">
        <f t="shared" ref="C58:P58" ca="1" si="4">C54*C56</f>
        <v>0</v>
      </c>
      <c r="D58" s="23">
        <f t="shared" si="4"/>
        <v>0</v>
      </c>
      <c r="E58" s="23">
        <f t="shared" si="4"/>
        <v>0</v>
      </c>
      <c r="F58" s="23">
        <f t="shared" si="4"/>
        <v>0</v>
      </c>
      <c r="G58" s="23">
        <f t="shared" si="4"/>
        <v>98.305238403705431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15846.522752342617</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9835.3283734109573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1893</v>
      </c>
      <c r="C8" s="534">
        <f>B49</f>
        <v>2227.0588235294122</v>
      </c>
      <c r="D8" s="962"/>
      <c r="E8" s="962">
        <f>E49</f>
        <v>0</v>
      </c>
      <c r="F8" s="963"/>
      <c r="G8" s="535"/>
      <c r="H8" s="962">
        <f>I49</f>
        <v>0</v>
      </c>
      <c r="I8" s="962">
        <f>G49+F49</f>
        <v>0</v>
      </c>
      <c r="J8" s="962">
        <f>H49+D49+C49</f>
        <v>0</v>
      </c>
      <c r="K8" s="962"/>
      <c r="L8" s="962"/>
      <c r="M8" s="962"/>
      <c r="N8" s="536"/>
      <c r="O8" s="537">
        <f>C8*$C$12+D8*$D$12+E8*$E$12+F8*$F$12+G8*$G$12+H8*$H$12+I8*$I$12+J8*$J$12</f>
        <v>449.8658823529413</v>
      </c>
      <c r="P8" s="1180"/>
      <c r="Q8" s="1181"/>
      <c r="S8" s="925"/>
      <c r="T8" s="1217"/>
      <c r="U8" s="1217"/>
    </row>
    <row r="9" spans="1:21" s="523" customFormat="1" ht="17.45" customHeight="1" thickBot="1">
      <c r="A9" s="538" t="s">
        <v>236</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27574.851125753572</v>
      </c>
      <c r="C10" s="547">
        <f t="shared" ref="C10:L10" si="0">SUM(C8:C9)</f>
        <v>2227.0588235294122</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449.8658823529413</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2704.2857142857147</v>
      </c>
      <c r="C17" s="559">
        <f>B50</f>
        <v>3181.5126050420172</v>
      </c>
      <c r="D17" s="560"/>
      <c r="E17" s="560">
        <f>E50</f>
        <v>0</v>
      </c>
      <c r="F17" s="968"/>
      <c r="G17" s="561"/>
      <c r="H17" s="559">
        <f>I50</f>
        <v>0</v>
      </c>
      <c r="I17" s="560">
        <f>G50+F50</f>
        <v>0</v>
      </c>
      <c r="J17" s="560">
        <f>H50+D50+C50</f>
        <v>0</v>
      </c>
      <c r="K17" s="560"/>
      <c r="L17" s="560"/>
      <c r="M17" s="560"/>
      <c r="N17" s="969"/>
      <c r="O17" s="562">
        <f>C17*$C$22+E17*$E$22+H17*$H$22+I17*$I$22+J17*$J$22+D17*$D$22+F17*$F$22+G17*$G$22+K17*$K$22+L17*$L$22</f>
        <v>642.66554621848752</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2704.2857142857147</v>
      </c>
      <c r="C20" s="546">
        <f>SUM(C17:C19)</f>
        <v>3181.5126050420172</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642.66554621848752</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37017</v>
      </c>
      <c r="C28" s="724">
        <v>8710</v>
      </c>
      <c r="D28" s="617"/>
      <c r="E28" s="616"/>
      <c r="F28" s="616"/>
      <c r="G28" s="616" t="s">
        <v>878</v>
      </c>
      <c r="H28" s="616" t="s">
        <v>879</v>
      </c>
      <c r="I28" s="616"/>
      <c r="J28" s="723"/>
      <c r="K28" s="723"/>
      <c r="L28" s="616" t="s">
        <v>880</v>
      </c>
      <c r="M28" s="616">
        <v>254</v>
      </c>
      <c r="N28" s="616">
        <v>1143</v>
      </c>
      <c r="O28" s="616">
        <v>1632.8571428571429</v>
      </c>
      <c r="P28" s="616">
        <v>3265.7142857142858</v>
      </c>
      <c r="Q28" s="616">
        <v>0</v>
      </c>
      <c r="R28" s="616">
        <v>0</v>
      </c>
      <c r="S28" s="616">
        <v>0</v>
      </c>
      <c r="T28" s="616">
        <v>0</v>
      </c>
      <c r="U28" s="616">
        <v>0</v>
      </c>
      <c r="V28" s="616">
        <v>0</v>
      </c>
      <c r="W28" s="616">
        <v>0</v>
      </c>
      <c r="X28" s="616"/>
      <c r="Y28" s="616">
        <v>400</v>
      </c>
      <c r="Z28" s="616" t="s">
        <v>36</v>
      </c>
      <c r="AA28" s="618" t="s">
        <v>375</v>
      </c>
    </row>
    <row r="29" spans="1:27" s="570" customFormat="1" ht="25.5" hidden="1">
      <c r="A29" s="569"/>
      <c r="B29" s="724">
        <v>37017</v>
      </c>
      <c r="C29" s="724">
        <v>8710</v>
      </c>
      <c r="D29" s="617"/>
      <c r="E29" s="616"/>
      <c r="F29" s="616"/>
      <c r="G29" s="616" t="s">
        <v>881</v>
      </c>
      <c r="H29" s="616" t="s">
        <v>879</v>
      </c>
      <c r="I29" s="616"/>
      <c r="J29" s="723"/>
      <c r="K29" s="723"/>
      <c r="L29" s="616" t="s">
        <v>882</v>
      </c>
      <c r="M29" s="616">
        <v>400</v>
      </c>
      <c r="N29" s="616">
        <v>750</v>
      </c>
      <c r="O29" s="616">
        <v>1071.4285714285716</v>
      </c>
      <c r="P29" s="616">
        <v>2142.8571428571431</v>
      </c>
      <c r="Q29" s="616">
        <v>0</v>
      </c>
      <c r="R29" s="616">
        <v>0</v>
      </c>
      <c r="S29" s="616">
        <v>0</v>
      </c>
      <c r="T29" s="616">
        <v>0</v>
      </c>
      <c r="U29" s="616">
        <v>0</v>
      </c>
      <c r="V29" s="616">
        <v>0</v>
      </c>
      <c r="W29" s="616">
        <v>0</v>
      </c>
      <c r="X29" s="616"/>
      <c r="Y29" s="616">
        <v>400</v>
      </c>
      <c r="Z29" s="616" t="s">
        <v>36</v>
      </c>
      <c r="AA29" s="618" t="s">
        <v>375</v>
      </c>
    </row>
    <row r="30" spans="1:27" s="554" customFormat="1" hidden="1">
      <c r="A30" s="572" t="s">
        <v>268</v>
      </c>
      <c r="B30" s="573"/>
      <c r="C30" s="573"/>
      <c r="D30" s="573"/>
      <c r="E30" s="573"/>
      <c r="F30" s="573"/>
      <c r="G30" s="573"/>
      <c r="H30" s="573"/>
      <c r="I30" s="573"/>
      <c r="J30" s="573"/>
      <c r="K30" s="573"/>
      <c r="L30" s="574"/>
      <c r="M30" s="574">
        <f>SUM(M28:M29)</f>
        <v>654</v>
      </c>
      <c r="N30" s="574">
        <f>SUM(N28:N29)</f>
        <v>1893</v>
      </c>
      <c r="O30" s="574">
        <f>SUM(O28:O29)</f>
        <v>2704.2857142857147</v>
      </c>
      <c r="P30" s="574">
        <f>SUM(P28:P29)</f>
        <v>5408.5714285714294</v>
      </c>
      <c r="Q30" s="574">
        <f>SUM(Q28:Q29)</f>
        <v>0</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654</v>
      </c>
      <c r="N31" s="574">
        <f>SUMIF($AA$28:$AA$29,"industrie",N28:N29)</f>
        <v>1893</v>
      </c>
      <c r="O31" s="574">
        <f>SUMIF($AA$28:$AA$29,"industrie",O28:O29)</f>
        <v>2704.2857142857147</v>
      </c>
      <c r="P31" s="574">
        <f>SUMIF($AA$28:$AA$29,"industrie",P28:P29)</f>
        <v>5408.5714285714294</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0</v>
      </c>
      <c r="N32" s="574">
        <f ca="1">SUMIF($AA$28:AE29,"tertiair",N28:N29)</f>
        <v>0</v>
      </c>
      <c r="O32" s="574">
        <f ca="1">SUMIF($AA$28:AF29,"tertiair",O28:O29)</f>
        <v>0</v>
      </c>
      <c r="P32" s="574">
        <f ca="1">SUMIF($AA$28:AG29,"tertiair",P28:P29)</f>
        <v>0</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0</v>
      </c>
      <c r="N33" s="579">
        <f>SUMIF($AA$28:$AA$29,"landbouw",N28:N29)</f>
        <v>0</v>
      </c>
      <c r="O33" s="579">
        <f>SUMIF($AA$28:$AA$29,"landbouw",O28:O29)</f>
        <v>0</v>
      </c>
      <c r="P33" s="579">
        <f>SUMIF($AA$28:$AA$29,"landbouw",P28:P29)</f>
        <v>0</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268</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2227.0588235294122</v>
      </c>
      <c r="C49" s="608">
        <f t="shared" si="2"/>
        <v>0</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3181.5126050420172</v>
      </c>
      <c r="C50" s="611">
        <f t="shared" si="3"/>
        <v>0</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12119.692170776612</v>
      </c>
      <c r="D10" s="931">
        <f ca="1">tertiair!C16</f>
        <v>0</v>
      </c>
      <c r="E10" s="931">
        <f ca="1">tertiair!D16</f>
        <v>8485.9644003250978</v>
      </c>
      <c r="F10" s="931">
        <f>tertiair!E16</f>
        <v>102.23020281031079</v>
      </c>
      <c r="G10" s="931">
        <f ca="1">tertiair!F16</f>
        <v>2359.1770641291041</v>
      </c>
      <c r="H10" s="931">
        <f>tertiair!G16</f>
        <v>0</v>
      </c>
      <c r="I10" s="931">
        <f>tertiair!H16</f>
        <v>0</v>
      </c>
      <c r="J10" s="931">
        <f>tertiair!I16</f>
        <v>0</v>
      </c>
      <c r="K10" s="931">
        <f>tertiair!J16</f>
        <v>2.3135191402377971E-2</v>
      </c>
      <c r="L10" s="931">
        <f>tertiair!K16</f>
        <v>0</v>
      </c>
      <c r="M10" s="931">
        <f ca="1">tertiair!L16</f>
        <v>0</v>
      </c>
      <c r="N10" s="931">
        <f>tertiair!M16</f>
        <v>0</v>
      </c>
      <c r="O10" s="931">
        <f ca="1">tertiair!N16</f>
        <v>909.21648017680877</v>
      </c>
      <c r="P10" s="931">
        <f>tertiair!O16</f>
        <v>4.6900000000000004</v>
      </c>
      <c r="Q10" s="932">
        <f>tertiair!P16</f>
        <v>133.46666666666667</v>
      </c>
      <c r="R10" s="628">
        <f ca="1">SUM(C10:Q10)</f>
        <v>24114.460120076001</v>
      </c>
      <c r="S10" s="67"/>
    </row>
    <row r="11" spans="1:19" s="437" customFormat="1">
      <c r="A11" s="736" t="s">
        <v>213</v>
      </c>
      <c r="B11" s="741"/>
      <c r="C11" s="931">
        <f>huishoudens!B8</f>
        <v>15748.946311145324</v>
      </c>
      <c r="D11" s="931">
        <f>huishoudens!C8</f>
        <v>0</v>
      </c>
      <c r="E11" s="931">
        <f>huishoudens!D8</f>
        <v>31618.979520721914</v>
      </c>
      <c r="F11" s="931">
        <f>huishoudens!E8</f>
        <v>951.93372231709577</v>
      </c>
      <c r="G11" s="931">
        <f>huishoudens!F8</f>
        <v>22065.083063452294</v>
      </c>
      <c r="H11" s="931">
        <f>huishoudens!G8</f>
        <v>0</v>
      </c>
      <c r="I11" s="931">
        <f>huishoudens!H8</f>
        <v>0</v>
      </c>
      <c r="J11" s="931">
        <f>huishoudens!I8</f>
        <v>0</v>
      </c>
      <c r="K11" s="931">
        <f>huishoudens!J8</f>
        <v>113.39509071338831</v>
      </c>
      <c r="L11" s="931">
        <f>huishoudens!K8</f>
        <v>0</v>
      </c>
      <c r="M11" s="931">
        <f>huishoudens!L8</f>
        <v>0</v>
      </c>
      <c r="N11" s="931">
        <f>huishoudens!M8</f>
        <v>0</v>
      </c>
      <c r="O11" s="931">
        <f>huishoudens!N8</f>
        <v>5504.6108669558353</v>
      </c>
      <c r="P11" s="931">
        <f>huishoudens!O8</f>
        <v>223.55666666666667</v>
      </c>
      <c r="Q11" s="932">
        <f>huishoudens!P8</f>
        <v>781.73333333333335</v>
      </c>
      <c r="R11" s="628">
        <f>SUM(C11:Q11)</f>
        <v>77008.238575305848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325577.70392215438</v>
      </c>
      <c r="D13" s="931">
        <f>industrie!C18</f>
        <v>2704.2857142857147</v>
      </c>
      <c r="E13" s="931">
        <f>industrie!D18</f>
        <v>353691.64934146166</v>
      </c>
      <c r="F13" s="931">
        <f>industrie!E18</f>
        <v>3205.647028098203</v>
      </c>
      <c r="G13" s="931">
        <f>industrie!F18</f>
        <v>119789.88995953718</v>
      </c>
      <c r="H13" s="931">
        <f>industrie!G18</f>
        <v>0</v>
      </c>
      <c r="I13" s="931">
        <f>industrie!H18</f>
        <v>0</v>
      </c>
      <c r="J13" s="931">
        <f>industrie!I18</f>
        <v>0</v>
      </c>
      <c r="K13" s="931">
        <f>industrie!J18</f>
        <v>124.4597587376836</v>
      </c>
      <c r="L13" s="931">
        <f>industrie!K18</f>
        <v>0</v>
      </c>
      <c r="M13" s="931">
        <f>industrie!L18</f>
        <v>0</v>
      </c>
      <c r="N13" s="931">
        <f>industrie!M18</f>
        <v>0</v>
      </c>
      <c r="O13" s="931">
        <f>industrie!N18</f>
        <v>8377.2172099049058</v>
      </c>
      <c r="P13" s="931">
        <f>industrie!O18</f>
        <v>0</v>
      </c>
      <c r="Q13" s="932">
        <f>industrie!P18</f>
        <v>0</v>
      </c>
      <c r="R13" s="628">
        <f>SUM(C13:Q13)</f>
        <v>813470.85293417983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353446.34240407631</v>
      </c>
      <c r="D16" s="660">
        <f t="shared" ref="D16:R16" ca="1" si="0">SUM(D9:D15)</f>
        <v>2704.2857142857147</v>
      </c>
      <c r="E16" s="660">
        <f t="shared" ca="1" si="0"/>
        <v>393796.59326250869</v>
      </c>
      <c r="F16" s="660">
        <f t="shared" si="0"/>
        <v>4259.8109532256094</v>
      </c>
      <c r="G16" s="660">
        <f t="shared" ca="1" si="0"/>
        <v>144214.15008711859</v>
      </c>
      <c r="H16" s="660">
        <f t="shared" si="0"/>
        <v>0</v>
      </c>
      <c r="I16" s="660">
        <f t="shared" si="0"/>
        <v>0</v>
      </c>
      <c r="J16" s="660">
        <f t="shared" si="0"/>
        <v>0</v>
      </c>
      <c r="K16" s="660">
        <f t="shared" si="0"/>
        <v>237.8779846424743</v>
      </c>
      <c r="L16" s="660">
        <f t="shared" si="0"/>
        <v>0</v>
      </c>
      <c r="M16" s="660">
        <f t="shared" ca="1" si="0"/>
        <v>0</v>
      </c>
      <c r="N16" s="660">
        <f t="shared" si="0"/>
        <v>0</v>
      </c>
      <c r="O16" s="660">
        <f t="shared" ca="1" si="0"/>
        <v>14791.044557037549</v>
      </c>
      <c r="P16" s="660">
        <f t="shared" si="0"/>
        <v>228.24666666666667</v>
      </c>
      <c r="Q16" s="660">
        <f t="shared" si="0"/>
        <v>915.2</v>
      </c>
      <c r="R16" s="660">
        <f t="shared" ca="1" si="0"/>
        <v>914593.5516295617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3.9193540158686013</v>
      </c>
      <c r="D19" s="931">
        <f>transport!C54</f>
        <v>0</v>
      </c>
      <c r="E19" s="931">
        <f>transport!D54</f>
        <v>0</v>
      </c>
      <c r="F19" s="931">
        <f>transport!E54</f>
        <v>0</v>
      </c>
      <c r="G19" s="931">
        <f>transport!F54</f>
        <v>0</v>
      </c>
      <c r="H19" s="931">
        <f>transport!G54</f>
        <v>368.18441349702408</v>
      </c>
      <c r="I19" s="931">
        <f>transport!H54</f>
        <v>0</v>
      </c>
      <c r="J19" s="931">
        <f>transport!I54</f>
        <v>0</v>
      </c>
      <c r="K19" s="931">
        <f>transport!J54</f>
        <v>0</v>
      </c>
      <c r="L19" s="931">
        <f>transport!K54</f>
        <v>0</v>
      </c>
      <c r="M19" s="931">
        <f>transport!L54</f>
        <v>0</v>
      </c>
      <c r="N19" s="931">
        <f>transport!M54</f>
        <v>21.202634905283134</v>
      </c>
      <c r="O19" s="931">
        <f>transport!N54</f>
        <v>0</v>
      </c>
      <c r="P19" s="931">
        <f>transport!O54</f>
        <v>0</v>
      </c>
      <c r="Q19" s="932">
        <f>transport!P54</f>
        <v>0</v>
      </c>
      <c r="R19" s="628">
        <f>SUM(C19:Q19)</f>
        <v>393.30640241817582</v>
      </c>
      <c r="S19" s="67"/>
    </row>
    <row r="20" spans="1:19" s="437" customFormat="1">
      <c r="A20" s="736" t="s">
        <v>295</v>
      </c>
      <c r="B20" s="741"/>
      <c r="C20" s="931">
        <f>transport!B14</f>
        <v>21.535129530097038</v>
      </c>
      <c r="D20" s="931">
        <f>transport!C14</f>
        <v>0</v>
      </c>
      <c r="E20" s="931">
        <f>transport!D14</f>
        <v>39.679103899347119</v>
      </c>
      <c r="F20" s="931">
        <f>transport!E14</f>
        <v>67.419867825719891</v>
      </c>
      <c r="G20" s="931">
        <f>transport!F14</f>
        <v>0</v>
      </c>
      <c r="H20" s="931">
        <f>transport!G14</f>
        <v>40888.929681136913</v>
      </c>
      <c r="I20" s="931">
        <f>transport!H14</f>
        <v>6801.1068857748924</v>
      </c>
      <c r="J20" s="931">
        <f>transport!I14</f>
        <v>0</v>
      </c>
      <c r="K20" s="931">
        <f>transport!J14</f>
        <v>0</v>
      </c>
      <c r="L20" s="931">
        <f>transport!K14</f>
        <v>0</v>
      </c>
      <c r="M20" s="931">
        <f>transport!L14</f>
        <v>0</v>
      </c>
      <c r="N20" s="931">
        <f>transport!M14</f>
        <v>2589.1767906789173</v>
      </c>
      <c r="O20" s="931">
        <f>transport!N14</f>
        <v>0</v>
      </c>
      <c r="P20" s="931">
        <f>transport!O14</f>
        <v>0</v>
      </c>
      <c r="Q20" s="932">
        <f>transport!P14</f>
        <v>0</v>
      </c>
      <c r="R20" s="628">
        <f>SUM(C20:Q20)</f>
        <v>50407.847458845885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25.45448354596564</v>
      </c>
      <c r="D22" s="739">
        <f t="shared" ref="D22:R22" si="1">SUM(D18:D21)</f>
        <v>0</v>
      </c>
      <c r="E22" s="739">
        <f t="shared" si="1"/>
        <v>39.679103899347119</v>
      </c>
      <c r="F22" s="739">
        <f t="shared" si="1"/>
        <v>67.419867825719891</v>
      </c>
      <c r="G22" s="739">
        <f t="shared" si="1"/>
        <v>0</v>
      </c>
      <c r="H22" s="739">
        <f t="shared" si="1"/>
        <v>41257.114094633936</v>
      </c>
      <c r="I22" s="739">
        <f t="shared" si="1"/>
        <v>6801.1068857748924</v>
      </c>
      <c r="J22" s="739">
        <f t="shared" si="1"/>
        <v>0</v>
      </c>
      <c r="K22" s="739">
        <f t="shared" si="1"/>
        <v>0</v>
      </c>
      <c r="L22" s="739">
        <f t="shared" si="1"/>
        <v>0</v>
      </c>
      <c r="M22" s="739">
        <f t="shared" si="1"/>
        <v>0</v>
      </c>
      <c r="N22" s="739">
        <f t="shared" si="1"/>
        <v>2610.3794255842004</v>
      </c>
      <c r="O22" s="739">
        <f t="shared" si="1"/>
        <v>0</v>
      </c>
      <c r="P22" s="739">
        <f t="shared" si="1"/>
        <v>0</v>
      </c>
      <c r="Q22" s="739">
        <f t="shared" si="1"/>
        <v>0</v>
      </c>
      <c r="R22" s="739">
        <f t="shared" si="1"/>
        <v>50801.153861264058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1086.891870964826</v>
      </c>
      <c r="D24" s="931">
        <f>+landbouw!C8</f>
        <v>0</v>
      </c>
      <c r="E24" s="931">
        <f>+landbouw!D8</f>
        <v>327.51313677742957</v>
      </c>
      <c r="F24" s="931">
        <f>+landbouw!E8</f>
        <v>35.273214113797628</v>
      </c>
      <c r="G24" s="931">
        <f>+landbouw!F8</f>
        <v>4009.7550200356609</v>
      </c>
      <c r="H24" s="931">
        <f>+landbouw!G8</f>
        <v>0</v>
      </c>
      <c r="I24" s="931">
        <f>+landbouw!H8</f>
        <v>0</v>
      </c>
      <c r="J24" s="931">
        <f>+landbouw!I8</f>
        <v>0</v>
      </c>
      <c r="K24" s="931">
        <f>+landbouw!J8</f>
        <v>285.8413250426006</v>
      </c>
      <c r="L24" s="931">
        <f>+landbouw!K8</f>
        <v>0</v>
      </c>
      <c r="M24" s="931">
        <f>+landbouw!L8</f>
        <v>0</v>
      </c>
      <c r="N24" s="931">
        <f>+landbouw!M8</f>
        <v>0</v>
      </c>
      <c r="O24" s="931">
        <f>+landbouw!N8</f>
        <v>0</v>
      </c>
      <c r="P24" s="931">
        <f>+landbouw!O8</f>
        <v>0</v>
      </c>
      <c r="Q24" s="932">
        <f>+landbouw!P8</f>
        <v>0</v>
      </c>
      <c r="R24" s="628">
        <f>SUM(C24:Q24)</f>
        <v>5745.2745669343149</v>
      </c>
      <c r="S24" s="67"/>
    </row>
    <row r="25" spans="1:19" s="437" customFormat="1" ht="15" thickBot="1">
      <c r="A25" s="758" t="s">
        <v>775</v>
      </c>
      <c r="B25" s="934"/>
      <c r="C25" s="935">
        <f>IF(Onbekend_ele_kWh="---",0,Onbekend_ele_kWh)/1000+IF(REST_rest_ele_kWh="---",0,REST_rest_ele_kWh)/1000</f>
        <v>384.33829167273598</v>
      </c>
      <c r="D25" s="935"/>
      <c r="E25" s="935">
        <f>IF(onbekend_gas_kWh="---",0,onbekend_gas_kWh)/1000+IF(REST_rest_gas_kWh="---",0,REST_rest_gas_kWh)/1000</f>
        <v>949.74981541352804</v>
      </c>
      <c r="F25" s="935"/>
      <c r="G25" s="935"/>
      <c r="H25" s="935"/>
      <c r="I25" s="935"/>
      <c r="J25" s="935"/>
      <c r="K25" s="935"/>
      <c r="L25" s="935"/>
      <c r="M25" s="935"/>
      <c r="N25" s="935"/>
      <c r="O25" s="935"/>
      <c r="P25" s="935"/>
      <c r="Q25" s="936"/>
      <c r="R25" s="628">
        <f>SUM(C25:Q25)</f>
        <v>1334.088107086264</v>
      </c>
      <c r="S25" s="67"/>
    </row>
    <row r="26" spans="1:19" s="437" customFormat="1" ht="15.75" thickBot="1">
      <c r="A26" s="633" t="s">
        <v>776</v>
      </c>
      <c r="B26" s="744"/>
      <c r="C26" s="739">
        <f>SUM(C24:C25)</f>
        <v>1471.230162637562</v>
      </c>
      <c r="D26" s="739">
        <f t="shared" ref="D26:R26" si="2">SUM(D24:D25)</f>
        <v>0</v>
      </c>
      <c r="E26" s="739">
        <f t="shared" si="2"/>
        <v>1277.2629521909575</v>
      </c>
      <c r="F26" s="739">
        <f t="shared" si="2"/>
        <v>35.273214113797628</v>
      </c>
      <c r="G26" s="739">
        <f t="shared" si="2"/>
        <v>4009.7550200356609</v>
      </c>
      <c r="H26" s="739">
        <f t="shared" si="2"/>
        <v>0</v>
      </c>
      <c r="I26" s="739">
        <f t="shared" si="2"/>
        <v>0</v>
      </c>
      <c r="J26" s="739">
        <f t="shared" si="2"/>
        <v>0</v>
      </c>
      <c r="K26" s="739">
        <f t="shared" si="2"/>
        <v>285.8413250426006</v>
      </c>
      <c r="L26" s="739">
        <f t="shared" si="2"/>
        <v>0</v>
      </c>
      <c r="M26" s="739">
        <f t="shared" si="2"/>
        <v>0</v>
      </c>
      <c r="N26" s="739">
        <f t="shared" si="2"/>
        <v>0</v>
      </c>
      <c r="O26" s="739">
        <f t="shared" si="2"/>
        <v>0</v>
      </c>
      <c r="P26" s="739">
        <f t="shared" si="2"/>
        <v>0</v>
      </c>
      <c r="Q26" s="739">
        <f t="shared" si="2"/>
        <v>0</v>
      </c>
      <c r="R26" s="739">
        <f t="shared" si="2"/>
        <v>7079.3626740205791</v>
      </c>
      <c r="S26" s="67"/>
    </row>
    <row r="27" spans="1:19" s="437" customFormat="1" ht="17.25" thickTop="1" thickBot="1">
      <c r="A27" s="634" t="s">
        <v>109</v>
      </c>
      <c r="B27" s="732"/>
      <c r="C27" s="635">
        <f ca="1">C22+C16+C26</f>
        <v>354943.02705025981</v>
      </c>
      <c r="D27" s="635">
        <f t="shared" ref="D27:R27" ca="1" si="3">D22+D16+D26</f>
        <v>2704.2857142857147</v>
      </c>
      <c r="E27" s="635">
        <f t="shared" ca="1" si="3"/>
        <v>395113.53531859897</v>
      </c>
      <c r="F27" s="635">
        <f t="shared" si="3"/>
        <v>4362.5040351651269</v>
      </c>
      <c r="G27" s="635">
        <f t="shared" ca="1" si="3"/>
        <v>148223.90510715425</v>
      </c>
      <c r="H27" s="635">
        <f t="shared" si="3"/>
        <v>41257.114094633936</v>
      </c>
      <c r="I27" s="635">
        <f t="shared" si="3"/>
        <v>6801.1068857748924</v>
      </c>
      <c r="J27" s="635">
        <f t="shared" si="3"/>
        <v>0</v>
      </c>
      <c r="K27" s="635">
        <f t="shared" si="3"/>
        <v>523.7193096850749</v>
      </c>
      <c r="L27" s="635">
        <f t="shared" si="3"/>
        <v>0</v>
      </c>
      <c r="M27" s="635">
        <f t="shared" ca="1" si="3"/>
        <v>0</v>
      </c>
      <c r="N27" s="635">
        <f t="shared" si="3"/>
        <v>2610.3794255842004</v>
      </c>
      <c r="O27" s="635">
        <f t="shared" ca="1" si="3"/>
        <v>14791.044557037549</v>
      </c>
      <c r="P27" s="635">
        <f t="shared" si="3"/>
        <v>228.24666666666667</v>
      </c>
      <c r="Q27" s="635">
        <f t="shared" si="3"/>
        <v>915.2</v>
      </c>
      <c r="R27" s="635">
        <f t="shared" ca="1" si="3"/>
        <v>972474.06816484628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2485.7289886217118</v>
      </c>
      <c r="D40" s="931">
        <f ca="1">tertiair!C20</f>
        <v>0</v>
      </c>
      <c r="E40" s="931">
        <f ca="1">tertiair!D20</f>
        <v>1714.1648088656698</v>
      </c>
      <c r="F40" s="931">
        <f>tertiair!E20</f>
        <v>23.206256037940548</v>
      </c>
      <c r="G40" s="931">
        <f ca="1">tertiair!F20</f>
        <v>629.90027612247081</v>
      </c>
      <c r="H40" s="931">
        <f>tertiair!G20</f>
        <v>0</v>
      </c>
      <c r="I40" s="931">
        <f>tertiair!H20</f>
        <v>0</v>
      </c>
      <c r="J40" s="931">
        <f>tertiair!I20</f>
        <v>0</v>
      </c>
      <c r="K40" s="931">
        <f>tertiair!J20</f>
        <v>8.1898577564418016E-3</v>
      </c>
      <c r="L40" s="931">
        <f>tertiair!K20</f>
        <v>0</v>
      </c>
      <c r="M40" s="931">
        <f ca="1">tertiair!L20</f>
        <v>0</v>
      </c>
      <c r="N40" s="931">
        <f>tertiair!M20</f>
        <v>0</v>
      </c>
      <c r="O40" s="931">
        <f ca="1">tertiair!N20</f>
        <v>0</v>
      </c>
      <c r="P40" s="931">
        <f>tertiair!O20</f>
        <v>0</v>
      </c>
      <c r="Q40" s="702">
        <f>tertiair!P20</f>
        <v>0</v>
      </c>
      <c r="R40" s="777">
        <f t="shared" ca="1" si="4"/>
        <v>4853.0085195055499</v>
      </c>
    </row>
    <row r="41" spans="1:18">
      <c r="A41" s="749" t="s">
        <v>213</v>
      </c>
      <c r="B41" s="756"/>
      <c r="C41" s="931">
        <f ca="1">huishoudens!B12</f>
        <v>3230.0830610413418</v>
      </c>
      <c r="D41" s="931">
        <f ca="1">huishoudens!C12</f>
        <v>0</v>
      </c>
      <c r="E41" s="931">
        <f>huishoudens!D12</f>
        <v>6387.0338631858267</v>
      </c>
      <c r="F41" s="931">
        <f>huishoudens!E12</f>
        <v>216.08895496598075</v>
      </c>
      <c r="G41" s="931">
        <f>huishoudens!F12</f>
        <v>5891.377177941763</v>
      </c>
      <c r="H41" s="931">
        <f>huishoudens!G12</f>
        <v>0</v>
      </c>
      <c r="I41" s="931">
        <f>huishoudens!H12</f>
        <v>0</v>
      </c>
      <c r="J41" s="931">
        <f>huishoudens!I12</f>
        <v>0</v>
      </c>
      <c r="K41" s="931">
        <f>huishoudens!J12</f>
        <v>40.141862112539464</v>
      </c>
      <c r="L41" s="931">
        <f>huishoudens!K12</f>
        <v>0</v>
      </c>
      <c r="M41" s="931">
        <f>huishoudens!L12</f>
        <v>0</v>
      </c>
      <c r="N41" s="931">
        <f>huishoudens!M12</f>
        <v>0</v>
      </c>
      <c r="O41" s="931">
        <f>huishoudens!N12</f>
        <v>0</v>
      </c>
      <c r="P41" s="931">
        <f>huishoudens!O12</f>
        <v>0</v>
      </c>
      <c r="Q41" s="702">
        <f>huishoudens!P12</f>
        <v>0</v>
      </c>
      <c r="R41" s="777">
        <f t="shared" ca="1" si="4"/>
        <v>15764.72491924745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66775.453145551073</v>
      </c>
      <c r="D43" s="931">
        <f ca="1">industrie!C22</f>
        <v>642.66554621848752</v>
      </c>
      <c r="E43" s="931">
        <f>industrie!D22</f>
        <v>71445.713166975256</v>
      </c>
      <c r="F43" s="931">
        <f>industrie!E22</f>
        <v>727.68187537829215</v>
      </c>
      <c r="G43" s="931">
        <f>industrie!F22</f>
        <v>31983.900619196429</v>
      </c>
      <c r="H43" s="931">
        <f>industrie!G22</f>
        <v>0</v>
      </c>
      <c r="I43" s="931">
        <f>industrie!H22</f>
        <v>0</v>
      </c>
      <c r="J43" s="931">
        <f>industrie!I22</f>
        <v>0</v>
      </c>
      <c r="K43" s="931">
        <f>industrie!J22</f>
        <v>44.058754593139994</v>
      </c>
      <c r="L43" s="931">
        <f>industrie!K22</f>
        <v>0</v>
      </c>
      <c r="M43" s="931">
        <f>industrie!L22</f>
        <v>0</v>
      </c>
      <c r="N43" s="931">
        <f>industrie!M22</f>
        <v>0</v>
      </c>
      <c r="O43" s="931">
        <f>industrie!N22</f>
        <v>0</v>
      </c>
      <c r="P43" s="931">
        <f>industrie!O22</f>
        <v>0</v>
      </c>
      <c r="Q43" s="702">
        <f>industrie!P22</f>
        <v>0</v>
      </c>
      <c r="R43" s="776">
        <f t="shared" ca="1" si="4"/>
        <v>171619.47310791269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72491.265195214131</v>
      </c>
      <c r="D46" s="660">
        <f t="shared" ref="D46:Q46" ca="1" si="5">SUM(D39:D45)</f>
        <v>642.66554621848752</v>
      </c>
      <c r="E46" s="660">
        <f t="shared" ca="1" si="5"/>
        <v>79546.911839026754</v>
      </c>
      <c r="F46" s="660">
        <f t="shared" si="5"/>
        <v>966.97708638221343</v>
      </c>
      <c r="G46" s="660">
        <f t="shared" ca="1" si="5"/>
        <v>38505.178073260664</v>
      </c>
      <c r="H46" s="660">
        <f t="shared" si="5"/>
        <v>0</v>
      </c>
      <c r="I46" s="660">
        <f t="shared" si="5"/>
        <v>0</v>
      </c>
      <c r="J46" s="660">
        <f t="shared" si="5"/>
        <v>0</v>
      </c>
      <c r="K46" s="660">
        <f t="shared" si="5"/>
        <v>84.2088065634359</v>
      </c>
      <c r="L46" s="660">
        <f t="shared" si="5"/>
        <v>0</v>
      </c>
      <c r="M46" s="660">
        <f t="shared" ca="1" si="5"/>
        <v>0</v>
      </c>
      <c r="N46" s="660">
        <f t="shared" si="5"/>
        <v>0</v>
      </c>
      <c r="O46" s="660">
        <f t="shared" ca="1" si="5"/>
        <v>0</v>
      </c>
      <c r="P46" s="660">
        <f t="shared" si="5"/>
        <v>0</v>
      </c>
      <c r="Q46" s="660">
        <f t="shared" si="5"/>
        <v>0</v>
      </c>
      <c r="R46" s="660">
        <f ca="1">SUM(R39:R45)</f>
        <v>192237.20654666569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0.80385308113739162</v>
      </c>
      <c r="D49" s="931">
        <f ca="1">transport!C58</f>
        <v>0</v>
      </c>
      <c r="E49" s="931">
        <f>transport!D58</f>
        <v>0</v>
      </c>
      <c r="F49" s="931">
        <f>transport!E58</f>
        <v>0</v>
      </c>
      <c r="G49" s="931">
        <f>transport!F58</f>
        <v>0</v>
      </c>
      <c r="H49" s="931">
        <f>transport!G58</f>
        <v>98.305238403705431</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99.109091484842821</v>
      </c>
    </row>
    <row r="50" spans="1:18">
      <c r="A50" s="752" t="s">
        <v>295</v>
      </c>
      <c r="B50" s="762"/>
      <c r="C50" s="631">
        <f ca="1">transport!B18</f>
        <v>4.4168197502375603</v>
      </c>
      <c r="D50" s="631">
        <f>transport!C18</f>
        <v>0</v>
      </c>
      <c r="E50" s="631">
        <f>transport!D18</f>
        <v>8.0151789876681185</v>
      </c>
      <c r="F50" s="631">
        <f>transport!E18</f>
        <v>15.304309996438416</v>
      </c>
      <c r="G50" s="631">
        <f>transport!F18</f>
        <v>0</v>
      </c>
      <c r="H50" s="631">
        <f>transport!G18</f>
        <v>10917.344224863557</v>
      </c>
      <c r="I50" s="631">
        <f>transport!H18</f>
        <v>1693.4756145579481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12638.556148155849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5.2206728313749515</v>
      </c>
      <c r="D52" s="660">
        <f t="shared" ref="D52:Q52" ca="1" si="6">SUM(D48:D51)</f>
        <v>0</v>
      </c>
      <c r="E52" s="660">
        <f t="shared" si="6"/>
        <v>8.0151789876681185</v>
      </c>
      <c r="F52" s="660">
        <f t="shared" si="6"/>
        <v>15.304309996438416</v>
      </c>
      <c r="G52" s="660">
        <f t="shared" si="6"/>
        <v>0</v>
      </c>
      <c r="H52" s="660">
        <f t="shared" si="6"/>
        <v>11015.649463267262</v>
      </c>
      <c r="I52" s="660">
        <f t="shared" si="6"/>
        <v>1693.4756145579481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12737.665239640692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222.91974029414931</v>
      </c>
      <c r="D54" s="631">
        <f ca="1">+landbouw!C12</f>
        <v>0</v>
      </c>
      <c r="E54" s="631">
        <f>+landbouw!D12</f>
        <v>66.15765362904078</v>
      </c>
      <c r="F54" s="631">
        <f>+landbouw!E12</f>
        <v>8.0070196038320613</v>
      </c>
      <c r="G54" s="631">
        <f>+landbouw!F12</f>
        <v>1070.6045903495215</v>
      </c>
      <c r="H54" s="631">
        <f>+landbouw!G12</f>
        <v>0</v>
      </c>
      <c r="I54" s="631">
        <f>+landbouw!H12</f>
        <v>0</v>
      </c>
      <c r="J54" s="631">
        <f>+landbouw!I12</f>
        <v>0</v>
      </c>
      <c r="K54" s="631">
        <f>+landbouw!J12</f>
        <v>101.18782906508061</v>
      </c>
      <c r="L54" s="631">
        <f>+landbouw!K12</f>
        <v>0</v>
      </c>
      <c r="M54" s="631">
        <f>+landbouw!L12</f>
        <v>0</v>
      </c>
      <c r="N54" s="631">
        <f>+landbouw!M12</f>
        <v>0</v>
      </c>
      <c r="O54" s="631">
        <f>+landbouw!N12</f>
        <v>0</v>
      </c>
      <c r="P54" s="631">
        <f>+landbouw!O12</f>
        <v>0</v>
      </c>
      <c r="Q54" s="632">
        <f>+landbouw!P12</f>
        <v>0</v>
      </c>
      <c r="R54" s="659">
        <f ca="1">SUM(C54:Q54)</f>
        <v>1468.8768329416243</v>
      </c>
    </row>
    <row r="55" spans="1:18" ht="15" thickBot="1">
      <c r="A55" s="752" t="s">
        <v>775</v>
      </c>
      <c r="B55" s="762"/>
      <c r="C55" s="631">
        <f ca="1">C25*'EF ele_warmte'!B12</f>
        <v>78.827153329179666</v>
      </c>
      <c r="D55" s="631"/>
      <c r="E55" s="631">
        <f>E25*EF_CO2_aardgas</f>
        <v>191.84946271353269</v>
      </c>
      <c r="F55" s="631"/>
      <c r="G55" s="631"/>
      <c r="H55" s="631"/>
      <c r="I55" s="631"/>
      <c r="J55" s="631"/>
      <c r="K55" s="631"/>
      <c r="L55" s="631"/>
      <c r="M55" s="631"/>
      <c r="N55" s="631"/>
      <c r="O55" s="631"/>
      <c r="P55" s="631"/>
      <c r="Q55" s="632"/>
      <c r="R55" s="659">
        <f ca="1">SUM(C55:Q55)</f>
        <v>270.67661604271234</v>
      </c>
    </row>
    <row r="56" spans="1:18" ht="15.75" thickBot="1">
      <c r="A56" s="750" t="s">
        <v>776</v>
      </c>
      <c r="B56" s="763"/>
      <c r="C56" s="660">
        <f ca="1">SUM(C54:C55)</f>
        <v>301.74689362332896</v>
      </c>
      <c r="D56" s="660">
        <f t="shared" ref="D56:Q56" ca="1" si="7">SUM(D54:D55)</f>
        <v>0</v>
      </c>
      <c r="E56" s="660">
        <f t="shared" si="7"/>
        <v>258.00711634257345</v>
      </c>
      <c r="F56" s="660">
        <f t="shared" si="7"/>
        <v>8.0070196038320613</v>
      </c>
      <c r="G56" s="660">
        <f t="shared" si="7"/>
        <v>1070.6045903495215</v>
      </c>
      <c r="H56" s="660">
        <f t="shared" si="7"/>
        <v>0</v>
      </c>
      <c r="I56" s="660">
        <f t="shared" si="7"/>
        <v>0</v>
      </c>
      <c r="J56" s="660">
        <f t="shared" si="7"/>
        <v>0</v>
      </c>
      <c r="K56" s="660">
        <f t="shared" si="7"/>
        <v>101.18782906508061</v>
      </c>
      <c r="L56" s="660">
        <f t="shared" si="7"/>
        <v>0</v>
      </c>
      <c r="M56" s="660">
        <f t="shared" si="7"/>
        <v>0</v>
      </c>
      <c r="N56" s="660">
        <f t="shared" si="7"/>
        <v>0</v>
      </c>
      <c r="O56" s="660">
        <f t="shared" si="7"/>
        <v>0</v>
      </c>
      <c r="P56" s="660">
        <f t="shared" si="7"/>
        <v>0</v>
      </c>
      <c r="Q56" s="661">
        <f t="shared" si="7"/>
        <v>0</v>
      </c>
      <c r="R56" s="662">
        <f ca="1">SUM(R54:R55)</f>
        <v>1739.5534489843367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72798.232761668842</v>
      </c>
      <c r="D61" s="668">
        <f t="shared" ref="D61:Q61" ca="1" si="8">D46+D52+D56</f>
        <v>642.66554621848752</v>
      </c>
      <c r="E61" s="668">
        <f t="shared" ca="1" si="8"/>
        <v>79812.934134356998</v>
      </c>
      <c r="F61" s="668">
        <f t="shared" si="8"/>
        <v>990.28841598248391</v>
      </c>
      <c r="G61" s="668">
        <f t="shared" ca="1" si="8"/>
        <v>39575.782663610182</v>
      </c>
      <c r="H61" s="668">
        <f t="shared" si="8"/>
        <v>11015.649463267262</v>
      </c>
      <c r="I61" s="668">
        <f t="shared" si="8"/>
        <v>1693.4756145579481</v>
      </c>
      <c r="J61" s="668">
        <f t="shared" si="8"/>
        <v>0</v>
      </c>
      <c r="K61" s="668">
        <f t="shared" si="8"/>
        <v>185.39663562851649</v>
      </c>
      <c r="L61" s="668">
        <f t="shared" si="8"/>
        <v>0</v>
      </c>
      <c r="M61" s="668">
        <f t="shared" ca="1" si="8"/>
        <v>0</v>
      </c>
      <c r="N61" s="668">
        <f t="shared" si="8"/>
        <v>0</v>
      </c>
      <c r="O61" s="668">
        <f t="shared" ca="1" si="8"/>
        <v>0</v>
      </c>
      <c r="P61" s="668">
        <f t="shared" si="8"/>
        <v>0</v>
      </c>
      <c r="Q61" s="668">
        <f t="shared" si="8"/>
        <v>0</v>
      </c>
      <c r="R61" s="668">
        <f ca="1">R46+R52+R56</f>
        <v>206714.42523529072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0.20509836005698073</v>
      </c>
      <c r="D63" s="709">
        <f t="shared" ca="1" si="9"/>
        <v>0.23764705882352943</v>
      </c>
      <c r="E63" s="942">
        <f t="shared" ca="1" si="9"/>
        <v>0.20200000000000001</v>
      </c>
      <c r="F63" s="709">
        <f t="shared" si="9"/>
        <v>0.22700000000000004</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15846.522752342617</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9835.3283734109573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1893</v>
      </c>
      <c r="D76" s="952">
        <f>'lokale energieproductie'!C8</f>
        <v>2227.0588235294122</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449.8658823529413</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25681.851125753572</v>
      </c>
      <c r="C78" s="683">
        <f>SUM(C72:C77)</f>
        <v>1893</v>
      </c>
      <c r="D78" s="684">
        <f t="shared" ref="D78:H78" si="10">SUM(D76:D77)</f>
        <v>2227.0588235294122</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449.8658823529413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2704.2857142857147</v>
      </c>
      <c r="D87" s="705">
        <f>'lokale energieproductie'!C17</f>
        <v>3181.5126050420172</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642.66554621848752</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2704.2857142857147</v>
      </c>
      <c r="D90" s="683">
        <f t="shared" ref="D90:H90" si="12">SUM(D87:D89)</f>
        <v>3181.5126050420172</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642.66554621848752</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15748.946311145324</v>
      </c>
      <c r="C4" s="441">
        <f>huishoudens!C8</f>
        <v>0</v>
      </c>
      <c r="D4" s="441">
        <f>huishoudens!D8</f>
        <v>31618.979520721914</v>
      </c>
      <c r="E4" s="441">
        <f>huishoudens!E8</f>
        <v>951.93372231709577</v>
      </c>
      <c r="F4" s="441">
        <f>huishoudens!F8</f>
        <v>22065.083063452294</v>
      </c>
      <c r="G4" s="441">
        <f>huishoudens!G8</f>
        <v>0</v>
      </c>
      <c r="H4" s="441">
        <f>huishoudens!H8</f>
        <v>0</v>
      </c>
      <c r="I4" s="441">
        <f>huishoudens!I8</f>
        <v>0</v>
      </c>
      <c r="J4" s="441">
        <f>huishoudens!J8</f>
        <v>113.39509071338831</v>
      </c>
      <c r="K4" s="441">
        <f>huishoudens!K8</f>
        <v>0</v>
      </c>
      <c r="L4" s="441">
        <f>huishoudens!L8</f>
        <v>0</v>
      </c>
      <c r="M4" s="441">
        <f>huishoudens!M8</f>
        <v>0</v>
      </c>
      <c r="N4" s="441">
        <f>huishoudens!N8</f>
        <v>5504.6108669558353</v>
      </c>
      <c r="O4" s="441">
        <f>huishoudens!O8</f>
        <v>223.55666666666667</v>
      </c>
      <c r="P4" s="442">
        <f>huishoudens!P8</f>
        <v>781.73333333333335</v>
      </c>
      <c r="Q4" s="443">
        <f>SUM(B4:P4)</f>
        <v>77008.238575305848</v>
      </c>
    </row>
    <row r="5" spans="1:17">
      <c r="A5" s="440" t="s">
        <v>149</v>
      </c>
      <c r="B5" s="441">
        <f ca="1">tertiair!B16</f>
        <v>11141.522170776612</v>
      </c>
      <c r="C5" s="441">
        <f ca="1">tertiair!C16</f>
        <v>0</v>
      </c>
      <c r="D5" s="441">
        <f ca="1">tertiair!D16</f>
        <v>8485.9644003250978</v>
      </c>
      <c r="E5" s="441">
        <f>tertiair!E16</f>
        <v>102.23020281031079</v>
      </c>
      <c r="F5" s="441">
        <f ca="1">tertiair!F16</f>
        <v>2359.1770641291041</v>
      </c>
      <c r="G5" s="441">
        <f>tertiair!G16</f>
        <v>0</v>
      </c>
      <c r="H5" s="441">
        <f>tertiair!H16</f>
        <v>0</v>
      </c>
      <c r="I5" s="441">
        <f>tertiair!I16</f>
        <v>0</v>
      </c>
      <c r="J5" s="441">
        <f>tertiair!J16</f>
        <v>2.3135191402377971E-2</v>
      </c>
      <c r="K5" s="441">
        <f>tertiair!K16</f>
        <v>0</v>
      </c>
      <c r="L5" s="441">
        <f ca="1">tertiair!L16</f>
        <v>0</v>
      </c>
      <c r="M5" s="441">
        <f>tertiair!M16</f>
        <v>0</v>
      </c>
      <c r="N5" s="441">
        <f ca="1">tertiair!N16</f>
        <v>909.21648017680877</v>
      </c>
      <c r="O5" s="441">
        <f>tertiair!O16</f>
        <v>4.6900000000000004</v>
      </c>
      <c r="P5" s="442">
        <f>tertiair!P16</f>
        <v>133.46666666666667</v>
      </c>
      <c r="Q5" s="440">
        <f t="shared" ref="Q5:Q14" ca="1" si="0">SUM(B5:P5)</f>
        <v>23136.290120076002</v>
      </c>
    </row>
    <row r="6" spans="1:17">
      <c r="A6" s="440" t="s">
        <v>187</v>
      </c>
      <c r="B6" s="441">
        <f>'openbare verlichting'!B8</f>
        <v>978.17</v>
      </c>
      <c r="C6" s="441"/>
      <c r="D6" s="441"/>
      <c r="E6" s="441"/>
      <c r="F6" s="441"/>
      <c r="G6" s="441"/>
      <c r="H6" s="441"/>
      <c r="I6" s="441"/>
      <c r="J6" s="441"/>
      <c r="K6" s="441"/>
      <c r="L6" s="441"/>
      <c r="M6" s="441"/>
      <c r="N6" s="441"/>
      <c r="O6" s="441"/>
      <c r="P6" s="442"/>
      <c r="Q6" s="440">
        <f t="shared" si="0"/>
        <v>978.17</v>
      </c>
    </row>
    <row r="7" spans="1:17">
      <c r="A7" s="440" t="s">
        <v>105</v>
      </c>
      <c r="B7" s="441">
        <f>landbouw!B8</f>
        <v>1086.891870964826</v>
      </c>
      <c r="C7" s="441">
        <f>landbouw!C8</f>
        <v>0</v>
      </c>
      <c r="D7" s="441">
        <f>landbouw!D8</f>
        <v>327.51313677742957</v>
      </c>
      <c r="E7" s="441">
        <f>landbouw!E8</f>
        <v>35.273214113797628</v>
      </c>
      <c r="F7" s="441">
        <f>landbouw!F8</f>
        <v>4009.7550200356609</v>
      </c>
      <c r="G7" s="441">
        <f>landbouw!G8</f>
        <v>0</v>
      </c>
      <c r="H7" s="441">
        <f>landbouw!H8</f>
        <v>0</v>
      </c>
      <c r="I7" s="441">
        <f>landbouw!I8</f>
        <v>0</v>
      </c>
      <c r="J7" s="441">
        <f>landbouw!J8</f>
        <v>285.8413250426006</v>
      </c>
      <c r="K7" s="441">
        <f>landbouw!K8</f>
        <v>0</v>
      </c>
      <c r="L7" s="441">
        <f>landbouw!L8</f>
        <v>0</v>
      </c>
      <c r="M7" s="441">
        <f>landbouw!M8</f>
        <v>0</v>
      </c>
      <c r="N7" s="441">
        <f>landbouw!N8</f>
        <v>0</v>
      </c>
      <c r="O7" s="441">
        <f>landbouw!O8</f>
        <v>0</v>
      </c>
      <c r="P7" s="442">
        <f>landbouw!P8</f>
        <v>0</v>
      </c>
      <c r="Q7" s="440">
        <f t="shared" si="0"/>
        <v>5745.2745669343149</v>
      </c>
    </row>
    <row r="8" spans="1:17">
      <c r="A8" s="440" t="s">
        <v>596</v>
      </c>
      <c r="B8" s="441">
        <f>industrie!B18</f>
        <v>325577.70392215438</v>
      </c>
      <c r="C8" s="441">
        <f>industrie!C18</f>
        <v>2704.2857142857147</v>
      </c>
      <c r="D8" s="441">
        <f>industrie!D18</f>
        <v>353691.64934146166</v>
      </c>
      <c r="E8" s="441">
        <f>industrie!E18</f>
        <v>3205.647028098203</v>
      </c>
      <c r="F8" s="441">
        <f>industrie!F18</f>
        <v>119789.88995953718</v>
      </c>
      <c r="G8" s="441">
        <f>industrie!G18</f>
        <v>0</v>
      </c>
      <c r="H8" s="441">
        <f>industrie!H18</f>
        <v>0</v>
      </c>
      <c r="I8" s="441">
        <f>industrie!I18</f>
        <v>0</v>
      </c>
      <c r="J8" s="441">
        <f>industrie!J18</f>
        <v>124.4597587376836</v>
      </c>
      <c r="K8" s="441">
        <f>industrie!K18</f>
        <v>0</v>
      </c>
      <c r="L8" s="441">
        <f>industrie!L18</f>
        <v>0</v>
      </c>
      <c r="M8" s="441">
        <f>industrie!M18</f>
        <v>0</v>
      </c>
      <c r="N8" s="441">
        <f>industrie!N18</f>
        <v>8377.2172099049058</v>
      </c>
      <c r="O8" s="441">
        <f>industrie!O18</f>
        <v>0</v>
      </c>
      <c r="P8" s="442">
        <f>industrie!P18</f>
        <v>0</v>
      </c>
      <c r="Q8" s="440">
        <f t="shared" si="0"/>
        <v>813470.85293417983</v>
      </c>
    </row>
    <row r="9" spans="1:17" s="446" customFormat="1">
      <c r="A9" s="444" t="s">
        <v>545</v>
      </c>
      <c r="B9" s="445">
        <f>transport!B14</f>
        <v>21.535129530097038</v>
      </c>
      <c r="C9" s="445">
        <f>transport!C14</f>
        <v>0</v>
      </c>
      <c r="D9" s="445">
        <f>transport!D14</f>
        <v>39.679103899347119</v>
      </c>
      <c r="E9" s="445">
        <f>transport!E14</f>
        <v>67.419867825719891</v>
      </c>
      <c r="F9" s="445">
        <f>transport!F14</f>
        <v>0</v>
      </c>
      <c r="G9" s="445">
        <f>transport!G14</f>
        <v>40888.929681136913</v>
      </c>
      <c r="H9" s="445">
        <f>transport!H14</f>
        <v>6801.1068857748924</v>
      </c>
      <c r="I9" s="445">
        <f>transport!I14</f>
        <v>0</v>
      </c>
      <c r="J9" s="445">
        <f>transport!J14</f>
        <v>0</v>
      </c>
      <c r="K9" s="445">
        <f>transport!K14</f>
        <v>0</v>
      </c>
      <c r="L9" s="445">
        <f>transport!L14</f>
        <v>0</v>
      </c>
      <c r="M9" s="445">
        <f>transport!M14</f>
        <v>2589.1767906789173</v>
      </c>
      <c r="N9" s="445">
        <f>transport!N14</f>
        <v>0</v>
      </c>
      <c r="O9" s="445">
        <f>transport!O14</f>
        <v>0</v>
      </c>
      <c r="P9" s="445">
        <f>transport!P14</f>
        <v>0</v>
      </c>
      <c r="Q9" s="444">
        <f>SUM(B9:P9)</f>
        <v>50407.847458845885</v>
      </c>
    </row>
    <row r="10" spans="1:17">
      <c r="A10" s="440" t="s">
        <v>535</v>
      </c>
      <c r="B10" s="441">
        <f>transport!B54</f>
        <v>3.9193540158686013</v>
      </c>
      <c r="C10" s="441">
        <f>transport!C54</f>
        <v>0</v>
      </c>
      <c r="D10" s="441">
        <f>transport!D54</f>
        <v>0</v>
      </c>
      <c r="E10" s="441">
        <f>transport!E54</f>
        <v>0</v>
      </c>
      <c r="F10" s="441">
        <f>transport!F54</f>
        <v>0</v>
      </c>
      <c r="G10" s="441">
        <f>transport!G54</f>
        <v>368.18441349702408</v>
      </c>
      <c r="H10" s="441">
        <f>transport!H54</f>
        <v>0</v>
      </c>
      <c r="I10" s="441">
        <f>transport!I54</f>
        <v>0</v>
      </c>
      <c r="J10" s="441">
        <f>transport!J54</f>
        <v>0</v>
      </c>
      <c r="K10" s="441">
        <f>transport!K54</f>
        <v>0</v>
      </c>
      <c r="L10" s="441">
        <f>transport!L54</f>
        <v>0</v>
      </c>
      <c r="M10" s="441">
        <f>transport!M54</f>
        <v>21.202634905283134</v>
      </c>
      <c r="N10" s="441">
        <f>transport!N54</f>
        <v>0</v>
      </c>
      <c r="O10" s="441">
        <f>transport!O54</f>
        <v>0</v>
      </c>
      <c r="P10" s="442">
        <f>transport!P54</f>
        <v>0</v>
      </c>
      <c r="Q10" s="440">
        <f t="shared" si="0"/>
        <v>393.30640241817582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384.33829167273598</v>
      </c>
      <c r="C14" s="448"/>
      <c r="D14" s="448">
        <f>'SEAP template'!E25</f>
        <v>949.74981541352804</v>
      </c>
      <c r="E14" s="448"/>
      <c r="F14" s="448"/>
      <c r="G14" s="448"/>
      <c r="H14" s="448"/>
      <c r="I14" s="448"/>
      <c r="J14" s="448"/>
      <c r="K14" s="448"/>
      <c r="L14" s="448"/>
      <c r="M14" s="448"/>
      <c r="N14" s="448"/>
      <c r="O14" s="448"/>
      <c r="P14" s="449"/>
      <c r="Q14" s="440">
        <f t="shared" si="0"/>
        <v>1334.088107086264</v>
      </c>
    </row>
    <row r="15" spans="1:17" s="450" customFormat="1">
      <c r="A15" s="957" t="s">
        <v>539</v>
      </c>
      <c r="B15" s="905">
        <f ca="1">SUM(B4:B14)</f>
        <v>354943.02705025987</v>
      </c>
      <c r="C15" s="905">
        <f t="shared" ref="C15:Q15" ca="1" si="1">SUM(C4:C14)</f>
        <v>2704.2857142857147</v>
      </c>
      <c r="D15" s="905">
        <f t="shared" ca="1" si="1"/>
        <v>395113.53531859897</v>
      </c>
      <c r="E15" s="905">
        <f t="shared" si="1"/>
        <v>4362.5040351651269</v>
      </c>
      <c r="F15" s="905">
        <f t="shared" ca="1" si="1"/>
        <v>148223.90510715422</v>
      </c>
      <c r="G15" s="905">
        <f t="shared" si="1"/>
        <v>41257.114094633936</v>
      </c>
      <c r="H15" s="905">
        <f t="shared" si="1"/>
        <v>6801.1068857748924</v>
      </c>
      <c r="I15" s="905">
        <f t="shared" si="1"/>
        <v>0</v>
      </c>
      <c r="J15" s="905">
        <f t="shared" si="1"/>
        <v>523.7193096850749</v>
      </c>
      <c r="K15" s="905">
        <f t="shared" si="1"/>
        <v>0</v>
      </c>
      <c r="L15" s="905">
        <f t="shared" ca="1" si="1"/>
        <v>0</v>
      </c>
      <c r="M15" s="905">
        <f t="shared" si="1"/>
        <v>2610.3794255842004</v>
      </c>
      <c r="N15" s="905">
        <f t="shared" ca="1" si="1"/>
        <v>14791.044557037549</v>
      </c>
      <c r="O15" s="905">
        <f t="shared" si="1"/>
        <v>228.24666666666667</v>
      </c>
      <c r="P15" s="905">
        <f t="shared" si="1"/>
        <v>915.2</v>
      </c>
      <c r="Q15" s="905">
        <f t="shared" ca="1" si="1"/>
        <v>972474.06816484639</v>
      </c>
    </row>
    <row r="17" spans="1:17">
      <c r="A17" s="451" t="s">
        <v>540</v>
      </c>
      <c r="B17" s="714">
        <f ca="1">huishoudens!B10</f>
        <v>0.20509836005698071</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3230.0830610413418</v>
      </c>
      <c r="C22" s="441">
        <f t="shared" ref="C22:C32" ca="1" si="3">C4*$C$17</f>
        <v>0</v>
      </c>
      <c r="D22" s="441">
        <f t="shared" ref="D22:D32" si="4">D4*$D$17</f>
        <v>6387.0338631858267</v>
      </c>
      <c r="E22" s="441">
        <f t="shared" ref="E22:E32" si="5">E4*$E$17</f>
        <v>216.08895496598075</v>
      </c>
      <c r="F22" s="441">
        <f t="shared" ref="F22:F32" si="6">F4*$F$17</f>
        <v>5891.377177941763</v>
      </c>
      <c r="G22" s="441">
        <f t="shared" ref="G22:G32" si="7">G4*$G$17</f>
        <v>0</v>
      </c>
      <c r="H22" s="441">
        <f t="shared" ref="H22:H32" si="8">H4*$H$17</f>
        <v>0</v>
      </c>
      <c r="I22" s="441">
        <f t="shared" ref="I22:I32" si="9">I4*$I$17</f>
        <v>0</v>
      </c>
      <c r="J22" s="441">
        <f t="shared" ref="J22:J32" si="10">J4*$J$17</f>
        <v>40.141862112539464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15764.72491924745</v>
      </c>
    </row>
    <row r="23" spans="1:17">
      <c r="A23" s="440" t="s">
        <v>149</v>
      </c>
      <c r="B23" s="441">
        <f t="shared" ca="1" si="2"/>
        <v>2285.1079257647748</v>
      </c>
      <c r="C23" s="441">
        <f t="shared" ca="1" si="3"/>
        <v>0</v>
      </c>
      <c r="D23" s="441">
        <f t="shared" ca="1" si="4"/>
        <v>1714.1648088656698</v>
      </c>
      <c r="E23" s="441">
        <f t="shared" si="5"/>
        <v>23.206256037940548</v>
      </c>
      <c r="F23" s="441">
        <f t="shared" ca="1" si="6"/>
        <v>629.90027612247081</v>
      </c>
      <c r="G23" s="441">
        <f t="shared" si="7"/>
        <v>0</v>
      </c>
      <c r="H23" s="441">
        <f t="shared" si="8"/>
        <v>0</v>
      </c>
      <c r="I23" s="441">
        <f t="shared" si="9"/>
        <v>0</v>
      </c>
      <c r="J23" s="441">
        <f t="shared" si="10"/>
        <v>8.1898577564418016E-3</v>
      </c>
      <c r="K23" s="441">
        <f t="shared" si="11"/>
        <v>0</v>
      </c>
      <c r="L23" s="441">
        <f t="shared" ca="1" si="12"/>
        <v>0</v>
      </c>
      <c r="M23" s="441">
        <f t="shared" si="13"/>
        <v>0</v>
      </c>
      <c r="N23" s="441">
        <f t="shared" ca="1" si="14"/>
        <v>0</v>
      </c>
      <c r="O23" s="441">
        <f t="shared" si="15"/>
        <v>0</v>
      </c>
      <c r="P23" s="442">
        <f t="shared" si="16"/>
        <v>0</v>
      </c>
      <c r="Q23" s="440">
        <f t="shared" ref="Q23:Q32" ca="1" si="17">SUM(B23:P23)</f>
        <v>4652.387456648612</v>
      </c>
    </row>
    <row r="24" spans="1:17">
      <c r="A24" s="440" t="s">
        <v>187</v>
      </c>
      <c r="B24" s="441">
        <f t="shared" ca="1" si="2"/>
        <v>200.62106285693682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200.62106285693682</v>
      </c>
    </row>
    <row r="25" spans="1:17">
      <c r="A25" s="440" t="s">
        <v>105</v>
      </c>
      <c r="B25" s="441">
        <f t="shared" ca="1" si="2"/>
        <v>222.91974029414931</v>
      </c>
      <c r="C25" s="441">
        <f t="shared" ca="1" si="3"/>
        <v>0</v>
      </c>
      <c r="D25" s="441">
        <f t="shared" si="4"/>
        <v>66.15765362904078</v>
      </c>
      <c r="E25" s="441">
        <f t="shared" si="5"/>
        <v>8.0070196038320613</v>
      </c>
      <c r="F25" s="441">
        <f t="shared" si="6"/>
        <v>1070.6045903495215</v>
      </c>
      <c r="G25" s="441">
        <f t="shared" si="7"/>
        <v>0</v>
      </c>
      <c r="H25" s="441">
        <f t="shared" si="8"/>
        <v>0</v>
      </c>
      <c r="I25" s="441">
        <f t="shared" si="9"/>
        <v>0</v>
      </c>
      <c r="J25" s="441">
        <f t="shared" si="10"/>
        <v>101.18782906508061</v>
      </c>
      <c r="K25" s="441">
        <f t="shared" si="11"/>
        <v>0</v>
      </c>
      <c r="L25" s="441">
        <f t="shared" si="12"/>
        <v>0</v>
      </c>
      <c r="M25" s="441">
        <f t="shared" si="13"/>
        <v>0</v>
      </c>
      <c r="N25" s="441">
        <f t="shared" si="14"/>
        <v>0</v>
      </c>
      <c r="O25" s="441">
        <f t="shared" si="15"/>
        <v>0</v>
      </c>
      <c r="P25" s="442">
        <f t="shared" si="16"/>
        <v>0</v>
      </c>
      <c r="Q25" s="440">
        <f t="shared" ca="1" si="17"/>
        <v>1468.8768329416243</v>
      </c>
    </row>
    <row r="26" spans="1:17">
      <c r="A26" s="440" t="s">
        <v>596</v>
      </c>
      <c r="B26" s="441">
        <f t="shared" ca="1" si="2"/>
        <v>66775.453145551073</v>
      </c>
      <c r="C26" s="441">
        <f t="shared" ca="1" si="3"/>
        <v>642.66554621848752</v>
      </c>
      <c r="D26" s="441">
        <f t="shared" si="4"/>
        <v>71445.713166975256</v>
      </c>
      <c r="E26" s="441">
        <f t="shared" si="5"/>
        <v>727.68187537829215</v>
      </c>
      <c r="F26" s="441">
        <f t="shared" si="6"/>
        <v>31983.900619196429</v>
      </c>
      <c r="G26" s="441">
        <f t="shared" si="7"/>
        <v>0</v>
      </c>
      <c r="H26" s="441">
        <f t="shared" si="8"/>
        <v>0</v>
      </c>
      <c r="I26" s="441">
        <f t="shared" si="9"/>
        <v>0</v>
      </c>
      <c r="J26" s="441">
        <f t="shared" si="10"/>
        <v>44.058754593139994</v>
      </c>
      <c r="K26" s="441">
        <f t="shared" si="11"/>
        <v>0</v>
      </c>
      <c r="L26" s="441">
        <f t="shared" si="12"/>
        <v>0</v>
      </c>
      <c r="M26" s="441">
        <f t="shared" si="13"/>
        <v>0</v>
      </c>
      <c r="N26" s="441">
        <f t="shared" si="14"/>
        <v>0</v>
      </c>
      <c r="O26" s="441">
        <f t="shared" si="15"/>
        <v>0</v>
      </c>
      <c r="P26" s="442">
        <f t="shared" si="16"/>
        <v>0</v>
      </c>
      <c r="Q26" s="440">
        <f t="shared" ca="1" si="17"/>
        <v>171619.47310791269</v>
      </c>
    </row>
    <row r="27" spans="1:17" s="446" customFormat="1">
      <c r="A27" s="444" t="s">
        <v>545</v>
      </c>
      <c r="B27" s="708">
        <f t="shared" ca="1" si="2"/>
        <v>4.4168197502375603</v>
      </c>
      <c r="C27" s="445">
        <f t="shared" ca="1" si="3"/>
        <v>0</v>
      </c>
      <c r="D27" s="445">
        <f t="shared" si="4"/>
        <v>8.0151789876681185</v>
      </c>
      <c r="E27" s="445">
        <f t="shared" si="5"/>
        <v>15.304309996438416</v>
      </c>
      <c r="F27" s="445">
        <f t="shared" si="6"/>
        <v>0</v>
      </c>
      <c r="G27" s="445">
        <f t="shared" si="7"/>
        <v>10917.344224863557</v>
      </c>
      <c r="H27" s="445">
        <f t="shared" si="8"/>
        <v>1693.4756145579481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12638.556148155849</v>
      </c>
    </row>
    <row r="28" spans="1:17">
      <c r="A28" s="440" t="s">
        <v>535</v>
      </c>
      <c r="B28" s="441">
        <f t="shared" ca="1" si="2"/>
        <v>0.80385308113739162</v>
      </c>
      <c r="C28" s="441">
        <f t="shared" ca="1" si="3"/>
        <v>0</v>
      </c>
      <c r="D28" s="441">
        <f t="shared" si="4"/>
        <v>0</v>
      </c>
      <c r="E28" s="441">
        <f t="shared" si="5"/>
        <v>0</v>
      </c>
      <c r="F28" s="441">
        <f t="shared" si="6"/>
        <v>0</v>
      </c>
      <c r="G28" s="441">
        <f t="shared" si="7"/>
        <v>98.305238403705431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99.109091484842821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78.827153329179666</v>
      </c>
      <c r="C32" s="441">
        <f t="shared" ca="1" si="3"/>
        <v>0</v>
      </c>
      <c r="D32" s="441">
        <f t="shared" si="4"/>
        <v>191.84946271353269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270.67661604271234</v>
      </c>
    </row>
    <row r="33" spans="1:17" s="450" customFormat="1">
      <c r="A33" s="957" t="s">
        <v>539</v>
      </c>
      <c r="B33" s="905">
        <f ca="1">SUM(B22:B32)</f>
        <v>72798.232761668842</v>
      </c>
      <c r="C33" s="905">
        <f t="shared" ref="C33:Q33" ca="1" si="18">SUM(C22:C32)</f>
        <v>642.66554621848752</v>
      </c>
      <c r="D33" s="905">
        <f t="shared" ca="1" si="18"/>
        <v>79812.934134356998</v>
      </c>
      <c r="E33" s="905">
        <f t="shared" si="18"/>
        <v>990.28841598248391</v>
      </c>
      <c r="F33" s="905">
        <f t="shared" ca="1" si="18"/>
        <v>39575.782663610182</v>
      </c>
      <c r="G33" s="905">
        <f t="shared" si="18"/>
        <v>11015.649463267262</v>
      </c>
      <c r="H33" s="905">
        <f t="shared" si="18"/>
        <v>1693.4756145579481</v>
      </c>
      <c r="I33" s="905">
        <f t="shared" si="18"/>
        <v>0</v>
      </c>
      <c r="J33" s="905">
        <f t="shared" si="18"/>
        <v>185.39663562851649</v>
      </c>
      <c r="K33" s="905">
        <f t="shared" si="18"/>
        <v>0</v>
      </c>
      <c r="L33" s="905">
        <f t="shared" ca="1" si="18"/>
        <v>0</v>
      </c>
      <c r="M33" s="905">
        <f t="shared" si="18"/>
        <v>0</v>
      </c>
      <c r="N33" s="905">
        <f t="shared" ca="1" si="18"/>
        <v>0</v>
      </c>
      <c r="O33" s="905">
        <f t="shared" si="18"/>
        <v>0</v>
      </c>
      <c r="P33" s="905">
        <f t="shared" si="18"/>
        <v>0</v>
      </c>
      <c r="Q33" s="905">
        <f t="shared" ca="1" si="18"/>
        <v>206714.42523529069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15846.522752342617</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9835.3283734109573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1893</v>
      </c>
      <c r="D8" s="974">
        <f>'SEAP template'!D76</f>
        <v>2227.0588235294122</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449.8658823529413</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25681.851125753572</v>
      </c>
      <c r="C10" s="978">
        <f>SUM(C4:C9)</f>
        <v>1893</v>
      </c>
      <c r="D10" s="978">
        <f t="shared" ref="D10:H10" si="0">SUM(D8:D9)</f>
        <v>2227.0588235294122</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449.8658823529413</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0.20509836005698071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2704.2857142857147</v>
      </c>
      <c r="D17" s="975">
        <f>'SEAP template'!D87</f>
        <v>3181.5126050420172</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642.66554621848752</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2704.2857142857147</v>
      </c>
      <c r="D20" s="978">
        <f t="shared" ref="D20:H20" si="2">SUM(D17:D19)</f>
        <v>3181.5126050420172</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642.66554621848752</v>
      </c>
    </row>
    <row r="22" spans="1:16">
      <c r="A22" s="451" t="s">
        <v>800</v>
      </c>
      <c r="B22" s="714" t="s">
        <v>794</v>
      </c>
      <c r="C22" s="714">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0.20509836005698071</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2022-07-26T10:45:23Z</dcterms:modified>
</cp:coreProperties>
</file>