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4F5797F-0AE9-4E94-9184-DF25CD3D5D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<sst xmlns="http://schemas.openxmlformats.org/spreadsheetml/2006/main" count="2402" uniqueCount="881">
  <si>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</si>
  <si>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</si>
  <si>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</si>
  <si>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</si>
  <si>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</si>
  <si>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</si>
  <si>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</si>
  <si>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</si>
  <si>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</si>
  <si>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</si>
  <si>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</si>
  <si>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</si>
  <si>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</si>
  <si>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</si>
  <si>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</si>
  <si>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</si>
  <si>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</si>
  <si>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</si>
  <si>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</si>
  <si>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</si>
  <si>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</si>
  <si>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</si>
  <si>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</si>
  <si>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</si>
  <si>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</si>
  <si>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</si>
  <si>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</si>
  <si>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</si>
  <si>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</si>
  <si>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</si>
  <si>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</si>
  <si>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</si>
  <si>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</si>
  <si>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</si>
  <si>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</si>
  <si>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</si>
  <si>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</si>
  <si>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</si>
  <si>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</si>
  <si>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</si>
  <si>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</si>
  <si>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</si>
  <si>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</si>
  <si>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</si>
  <si>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</si>
  <si>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</si>
  <si>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</si>
  <si>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</si>
  <si>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</si>
  <si>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</si>
  <si>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</si>
  <si>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</si>
  <si>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</si>
  <si>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</si>
  <si>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</si>
  <si>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</si>
  <si>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</si>
  <si>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</si>
  <si>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</si>
  <si>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</si>
  <si>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</si>
  <si>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</si>
  <si>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</si>
  <si>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</si>
  <si>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</si>
  <si>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</si>
  <si>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</si>
  <si>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</si>
  <si>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</si>
  <si>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</si>
  <si>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</si>
  <si>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</si>
  <si>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</si>
  <si>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</si>
  <si>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</si>
  <si>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</si>
  <si>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</si>
  <si>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</si>
  <si>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</si>
  <si>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</si>
  <si>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</si>
  <si>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</si>
  <si>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</si>
  <si>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</si>
  <si>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</si>
  <si>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</si>
  <si>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</si>
  <si>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</si>
  <si>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</si>
  <si>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</si>
  <si>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</si>
  <si>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</si>
  <si>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</si>
  <si>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</si>
  <si>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</si>
  <si>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</si>
  <si>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</si>
  <si>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</si>
  <si>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</si>
  <si>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</si>
  <si>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</si>
  <si>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</si>
  <si>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</si>
  <si>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</si>
  <si>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</si>
  <si>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</si>
  <si>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</si>
  <si>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</si>
  <si>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</si>
  <si>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</si>
  <si>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</si>
  <si>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</si>
  <si>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</si>
  <si>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</si>
  <si>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</si>
  <si>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</si>
  <si>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</si>
  <si>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</si>
  <si>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</si>
  <si>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</si>
  <si>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</si>
  <si>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</si>
  <si>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</si>
  <si>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</si>
  <si>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</si>
  <si>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</si>
  <si>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</si>
  <si>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</si>
  <si>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</si>
  <si>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</si>
  <si>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</si>
  <si>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</si>
  <si>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</si>
  <si>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</si>
  <si>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</si>
  <si>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</si>
  <si>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</si>
  <si>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</si>
  <si>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</si>
  <si>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</si>
  <si>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</si>
  <si>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</si>
  <si>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</si>
  <si>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</si>
  <si>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</si>
  <si>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</si>
  <si>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</si>
  <si>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</si>
  <si>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</si>
  <si>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</si>
  <si>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</si>
  <si>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</si>
  <si>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</si>
  <si>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</si>
  <si>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</si>
  <si>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</si>
  <si>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</si>
  <si>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</si>
  <si>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</si>
  <si>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</si>
  <si>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</si>
  <si>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</si>
  <si>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</si>
  <si>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</si>
  <si>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</si>
  <si>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</si>
  <si>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</si>
  <si>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</si>
  <si>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</si>
  <si>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</si>
  <si>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</si>
  <si>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</si>
  <si>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</si>
  <si>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</si>
  <si>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</si>
  <si>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</si>
  <si>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</si>
  <si>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</si>
  <si>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</si>
  <si>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</si>
  <si>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</si>
  <si>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</si>
  <si>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</si>
  <si>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</si>
  <si>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</si>
  <si>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</si>
  <si>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</si>
  <si>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</si>
  <si>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</si>
  <si>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</si>
  <si>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</si>
  <si>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</si>
  <si>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</si>
  <si>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</si>
  <si>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</si>
  <si>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</si>
  <si>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</si>
  <si>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</si>
  <si>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</si>
  <si>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</si>
  <si>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</si>
  <si>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</si>
  <si>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</si>
  <si>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</si>
  <si>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</si>
  <si>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</si>
  <si>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</si>
  <si>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</si>
  <si>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</si>
  <si>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</si>
  <si>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</si>
  <si>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</si>
  <si>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</si>
  <si>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</si>
  <si>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</si>
  <si>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</si>
  <si>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</si>
  <si>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</si>
  <si>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</si>
  <si>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</si>
  <si>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</si>
  <si>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</si>
  <si>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</si>
  <si>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</si>
  <si>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</si>
  <si>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</si>
  <si>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</si>
  <si>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</si>
  <si>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</si>
  <si>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</si>
  <si>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</si>
  <si>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</si>
  <si>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</si>
  <si>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</si>
  <si>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</si>
  <si>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</si>
  <si>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</si>
  <si>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</si>
  <si>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</si>
  <si>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</si>
  <si>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</si>
  <si>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</si>
  <si>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</si>
  <si>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</si>
  <si>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</si>
  <si>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</si>
  <si>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</si>
  <si>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</si>
  <si>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</si>
  <si>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</si>
  <si>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</si>
  <si>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</si>
  <si>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</si>
  <si>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</si>
  <si>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</si>
  <si>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</si>
  <si>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</si>
  <si>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</si>
  <si>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</si>
  <si>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</si>
  <si>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</si>
  <si>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</si>
  <si>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</si>
  <si>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</si>
  <si>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</si>
  <si>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</si>
  <si>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</si>
  <si>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</si>
  <si>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</si>
  <si>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</si>
  <si>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</si>
  <si>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</si>
  <si>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</si>
  <si>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</si>
  <si>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</si>
  <si>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</si>
  <si>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</si>
  <si>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</si>
  <si>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</si>
  <si>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</si>
  <si>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</si>
  <si>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</si>
  <si>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</si>
  <si>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</si>
  <si>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</si>
  <si>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</si>
  <si>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</si>
  <si>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</si>
  <si>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</si>
  <si>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</si>
  <si>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</si>
  <si>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</si>
  <si>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</si>
  <si>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</si>
  <si>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</si>
  <si>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</si>
  <si>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</si>
  <si>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</si>
  <si>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</si>
  <si>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</si>
  <si>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</si>
  <si>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</si>
  <si>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</si>
  <si>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</si>
  <si>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</si>
  <si>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</si>
  <si>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</si>
  <si>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</si>
  <si>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</si>
  <si>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</si>
  <si>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</si>
  <si>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</si>
  <si>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</si>
  <si>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</si>
  <si>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</si>
  <si>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</si>
  <si>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</si>
  <si>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</si>
  <si>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</si>
  <si>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</si>
  <si>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</si>
  <si>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</si>
  <si>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</si>
  <si>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</si>
  <si>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</si>
  <si>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</si>
  <si>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</si>
  <si>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</si>
  <si>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</si>
  <si>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</si>
  <si>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</si>
  <si>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</si>
  <si>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</si>
  <si>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</si>
  <si>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</si>
  <si>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</si>
  <si>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</si>
  <si>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</si>
  <si>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</si>
  <si>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</si>
  <si>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</si>
  <si>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</si>
  <si>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</si>
  <si>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</si>
  <si>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</si>
  <si>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</si>
  <si>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</si>
  <si>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</si>
  <si>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</si>
  <si>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</si>
  <si>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</si>
  <si>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</si>
  <si>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</si>
  <si>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</si>
  <si>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</si>
  <si>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</si>
  <si>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</si>
  <si>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</si>
  <si>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</si>
  <si>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</si>
  <si>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</si>
  <si>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</si>
  <si>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</si>
  <si>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</si>
  <si>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</si>
  <si>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</si>
  <si>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</si>
  <si>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</si>
  <si>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</si>
  <si>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</si>
  <si>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</si>
  <si>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</si>
  <si>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</si>
  <si>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</si>
  <si>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</si>
  <si>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</si>
  <si>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</si>
  <si>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</si>
  <si>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</si>
  <si>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</si>
  <si>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</si>
  <si>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</si>
  <si>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</si>
  <si>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</si>
  <si>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</si>
  <si>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</si>
  <si>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</si>
  <si>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</si>
  <si>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</si>
  <si>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</si>
  <si>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</si>
  <si>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</si>
  <si>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</si>
  <si>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</si>
  <si>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</si>
  <si>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</si>
  <si>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</si>
  <si>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</si>
  <si>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</si>
  <si>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</si>
  <si>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</si>
  <si>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</si>
  <si>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</si>
  <si>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</si>
  <si>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</si>
  <si>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</si>
  <si>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</si>
  <si>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</si>
  <si>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</si>
  <si>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</si>
  <si>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</si>
  <si>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</si>
  <si>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</si>
  <si>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</si>
  <si>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</si>
  <si>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</si>
  <si>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</si>
  <si>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</si>
  <si>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</si>
  <si>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</si>
  <si>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</si>
  <si>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</si>
  <si>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</si>
  <si>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</si>
  <si>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</si>
  <si>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</si>
  <si>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</si>
  <si>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</si>
  <si>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</si>
  <si>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</si>
  <si>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</si>
  <si>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</si>
  <si>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</si>
  <si>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</si>
  <si>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</si>
  <si>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</si>
  <si>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</si>
  <si>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</si>
  <si>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</si>
  <si>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</si>
  <si>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</si>
  <si>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</si>
  <si>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</si>
  <si>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</si>
  <si>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</si>
  <si>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</si>
  <si>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</si>
  <si>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</si>
  <si>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</si>
  <si>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</si>
  <si>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</si>
  <si>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</si>
  <si>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</si>
  <si>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</si>
  <si>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</si>
  <si>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</si>
  <si>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</si>
  <si>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</si>
  <si>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</si>
  <si>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</si>
  <si>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</si>
  <si>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</si>
  <si>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</si>
  <si>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</si>
  <si>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</si>
  <si>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</si>
  <si>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</si>
  <si>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</si>
  <si>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</si>
  <si>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</si>
  <si>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</si>
  <si>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</si>
  <si>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</si>
  <si>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</si>
  <si>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</si>
  <si>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</si>
  <si>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</si>
  <si>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</si>
  <si>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</si>
  <si>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</si>
  <si>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</si>
  <si>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</si>
  <si>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</si>
  <si>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</si>
  <si>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</si>
  <si>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</si>
  <si>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</si>
  <si>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</si>
  <si>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</si>
  <si>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</si>
  <si>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</si>
  <si>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</si>
  <si>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</si>
  <si>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</si>
  <si>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</si>
  <si>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</si>
  <si>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</si>
  <si>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</si>
  <si>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</si>
  <si>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</si>
  <si>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</si>
  <si>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</si>
  <si>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</si>
  <si>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</si>
  <si>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</si>
  <si>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</si>
  <si>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</si>
  <si>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</si>
  <si>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</si>
  <si>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</si>
  <si>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</si>
  <si>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</si>
  <si>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</si>
  <si>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</si>
  <si>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</si>
  <si>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</si>
  <si>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</si>
  <si>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</si>
  <si>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</si>
  <si>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</si>
  <si>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</si>
  <si>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</si>
  <si>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</si>
  <si>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</si>
  <si>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</si>
  <si>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</si>
  <si>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</si>
  <si>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</si>
  <si>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</si>
  <si>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</si>
  <si>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</si>
  <si>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</si>
  <si>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</si>
  <si>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</si>
  <si>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</si>
  <si>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</si>
  <si>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</si>
  <si>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</si>
  <si>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</si>
  <si>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</si>
  <si>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</si>
  <si>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</si>
  <si>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</si>
  <si>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</si>
  <si>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</si>
  <si>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</si>
  <si>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</si>
  <si>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</si>
  <si>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</si>
  <si>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</si>
  <si>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</si>
  <si>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</si>
  <si>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</si>
  <si>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</si>
  <si>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</si>
  <si>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</si>
  <si>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</si>
  <si>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</si>
  <si>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</si>
  <si>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</si>
  <si>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</si>
  <si>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</si>
  <si>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</si>
  <si>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</si>
  <si>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</si>
  <si>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</si>
  <si>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</si>
  <si>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</si>
  <si>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</si>
  <si>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</si>
  <si>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</si>
  <si>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</si>
  <si>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</si>
  <si>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</si>
  <si>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</si>
  <si>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</si>
  <si>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</si>
  <si>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</si>
  <si>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</si>
  <si>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</si>
  <si>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</si>
  <si>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</si>
  <si>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</si>
  <si>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</si>
  <si>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</si>
  <si>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</si>
  <si>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</si>
  <si>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</si>
  <si>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</si>
  <si>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</si>
  <si>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</si>
  <si>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</si>
  <si>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</si>
  <si>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</si>
  <si>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</si>
  <si>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</si>
  <si>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</si>
  <si>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</si>
  <si>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</si>
  <si>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</si>
  <si>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</si>
  <si>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</si>
  <si>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</si>
  <si>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</si>
  <si>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</si>
  <si>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</si>
  <si>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</si>
  <si>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</si>
  <si>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</si>
  <si>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</si>
  <si>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</si>
  <si>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</si>
  <si>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</si>
  <si>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</si>
  <si>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</si>
  <si>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</si>
  <si>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</si>
  <si>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</si>
  <si>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</si>
  <si>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</si>
  <si>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</si>
  <si>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</si>
  <si>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</si>
  <si>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</si>
  <si>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</si>
  <si>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</si>
  <si>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</si>
  <si>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</si>
  <si>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</si>
  <si>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</si>
  <si>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</si>
  <si>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</si>
  <si>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</si>
  <si>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</si>
  <si>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</si>
  <si>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</si>
  <si>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</si>
  <si>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</si>
  <si>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</si>
  <si>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</si>
  <si>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</si>
  <si>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</si>
  <si>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</si>
  <si>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</si>
  <si>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</si>
  <si>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</si>
  <si>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</si>
  <si>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</si>
  <si>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</si>
  <si>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</si>
  <si>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</si>
  <si>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</si>
  <si>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</si>
  <si>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</si>
  <si>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</si>
  <si>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</si>
  <si>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</si>
  <si>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</si>
  <si>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</si>
  <si>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</si>
  <si>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</si>
  <si>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</si>
  <si>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</si>
  <si>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</si>
  <si>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</si>
  <si>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</si>
  <si>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</si>
  <si>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</si>
  <si>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</si>
  <si>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</si>
  <si>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</si>
  <si>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</si>
  <si>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</si>
  <si>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</si>
  <si>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</si>
  <si>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</si>
  <si>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</si>
  <si>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</si>
  <si>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</si>
  <si>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</si>
  <si>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</si>
  <si>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</si>
  <si>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</si>
  <si>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</si>
  <si>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</si>
  <si>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</si>
  <si>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</si>
  <si>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</si>
  <si>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</si>
  <si>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</si>
  <si>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</si>
  <si>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</si>
  <si>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</si>
  <si>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</si>
  <si>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</si>
  <si>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</si>
  <si>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</si>
  <si>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</si>
  <si>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</si>
  <si>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</si>
  <si>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</si>
  <si>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</si>
  <si>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</si>
  <si>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</si>
  <si>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</si>
  <si>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</si>
  <si>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</si>
  <si>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</si>
  <si>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</si>
  <si>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</si>
  <si>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</si>
  <si>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</si>
  <si>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</si>
  <si>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</si>
  <si>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</si>
  <si>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</si>
  <si>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</si>
  <si>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</si>
  <si>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</si>
  <si>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</si>
  <si>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</si>
  <si>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</si>
  <si>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</si>
  <si>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</si>
  <si>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</si>
  <si>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</si>
  <si>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</si>
  <si>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</si>
  <si>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</si>
  <si>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</si>
  <si>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</si>
  <si>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</si>
  <si>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</si>
  <si>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</si>
  <si>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</si>
  <si>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</si>
  <si>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</si>
  <si>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</si>
  <si>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</si>
  <si>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</si>
  <si>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</si>
  <si>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</si>
  <si>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</si>
  <si>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</si>
  <si>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</si>
  <si>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</si>
  <si>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</si>
  <si>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</si>
  <si>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</si>
  <si>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</si>
  <si>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</si>
  <si>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</si>
  <si>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</si>
  <si>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</si>
  <si>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</si>
  <si>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</si>
  <si>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</si>
  <si>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</si>
  <si>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</si>
  <si>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</si>
  <si>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</si>
  <si>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</si>
  <si>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</si>
  <si>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</si>
  <si>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</si>
  <si>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</si>
  <si>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</si>
  <si>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</si>
  <si>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</si>
  <si>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</si>
  <si>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</si>
  <si>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</si>
  <si>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</si>
  <si>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</si>
  <si>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</si>
  <si>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</si>
  <si>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</si>
  <si>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</si>
  <si>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</si>
  <si>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</si>
  <si>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</si>
  <si>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</si>
  <si>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</si>
  <si>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</si>
  <si>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</si>
  <si>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</si>
  <si>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</si>
  <si>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</si>
  <si>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</si>
  <si>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</si>
  <si>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</si>
  <si>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</si>
  <si>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</si>
  <si>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</si>
  <si>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</si>
  <si>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</si>
  <si>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</si>
  <si>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</si>
  <si>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</si>
  <si>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</si>
  <si>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</si>
  <si>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</si>
  <si>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</si>
  <si>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</si>
  <si>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</si>
  <si>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</si>
  <si>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</si>
  <si>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</si>
  <si>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</si>
  <si>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</si>
  <si>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</si>
  <si>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</si>
  <si>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</si>
  <si>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</si>
  <si>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</si>
  <si>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</si>
  <si>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</si>
  <si>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</si>
  <si>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</si>
  <si>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</si>
  <si>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</si>
  <si>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</si>
  <si>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</si>
  <si>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</si>
  <si>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</si>
  <si>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</si>
  <si>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</si>
  <si>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</si>
  <si>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</si>
  <si>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</si>
  <si>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</si>
  <si>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</si>
  <si>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</si>
  <si>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</si>
  <si>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</si>
  <si>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</si>
  <si>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</si>
  <si>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</si>
  <si>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</si>
  <si>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</si>
  <si>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</si>
  <si>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</si>
  <si>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</si>
  <si>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</si>
  <si>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</si>
  <si>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</si>
  <si>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</si>
  <si>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</si>
  <si>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</si>
  <si>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</si>
  <si>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</si>
  <si>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</si>
  <si>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</si>
  <si>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</si>
  <si>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</si>
  <si>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</si>
  <si>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</si>
  <si>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</si>
  <si>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</si>
  <si>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</si>
  <si>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</si>
  <si>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</si>
  <si>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</si>
  <si>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</si>
  <si>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</si>
  <si>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</si>
  <si>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</si>
  <si>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</si>
  <si>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</si>
  <si>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</si>
  <si>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</si>
  <si>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</si>
  <si>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</si>
  <si>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</si>
  <si>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</si>
  <si>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32006</t>
  </si>
  <si>
    <t>HOUTHULST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</si>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</sst>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BA92231-EA3B-4280-98BD-F12E082FC8D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80717.147400599861</c:v>
                </c:pt>
                <c:pt idx="1">
                  <c:v>36846.902320121677</c:v>
                </c:pt>
                <c:pt idx="2">
                  <c:v>653.17700000000002</c:v>
                </c:pt>
                <c:pt idx="3">
                  <c:v>42801.453595340165</c:v>
                </c:pt>
                <c:pt idx="4">
                  <c:v>7672.7811099232349</c:v>
                </c:pt>
                <c:pt idx="5">
                  <c:v>50440.358451489526</c:v>
                </c:pt>
                <c:pt idx="6">
                  <c:v>636.98033371612678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80717.147400599861</c:v>
                </c:pt>
                <c:pt idx="1">
                  <c:v>36846.902320121677</c:v>
                </c:pt>
                <c:pt idx="2">
                  <c:v>653.17700000000002</c:v>
                </c:pt>
                <c:pt idx="3">
                  <c:v>42801.453595340165</c:v>
                </c:pt>
                <c:pt idx="4">
                  <c:v>7672.7811099232349</c:v>
                </c:pt>
                <c:pt idx="5">
                  <c:v>50440.358451489526</c:v>
                </c:pt>
                <c:pt idx="6">
                  <c:v>636.98033371612678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15797.945503954266</c:v>
                </c:pt>
                <c:pt idx="2">
                  <c:v>5715.9857837874197</c:v>
                </c:pt>
                <c:pt idx="3">
                  <c:v>82.191868805413151</c:v>
                </c:pt>
                <c:pt idx="4">
                  <c:v>5950.3218596816951</c:v>
                </c:pt>
                <c:pt idx="5">
                  <c:v>1333.5330767374307</c:v>
                </c:pt>
                <c:pt idx="6">
                  <c:v>12611.395763441045</c:v>
                </c:pt>
                <c:pt idx="7">
                  <c:v>160.00922997389003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15797.945503954266</c:v>
                </c:pt>
                <c:pt idx="2">
                  <c:v>5715.9857837874197</c:v>
                </c:pt>
                <c:pt idx="3">
                  <c:v>82.191868805413151</c:v>
                </c:pt>
                <c:pt idx="4">
                  <c:v>5950.3218596816951</c:v>
                </c:pt>
                <c:pt idx="5">
                  <c:v>1333.5330767374307</c:v>
                </c:pt>
                <c:pt idx="6">
                  <c:v>12611.395763441045</c:v>
                </c:pt>
                <c:pt idx="7">
                  <c:v>160.00922997389003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32006</v>
      </c>
      <c r="B6" s="380"/>
      <c r="C6" s="381"/>
    </row>
    <row r="7" spans="1:7" s="378" customFormat="1" ht="15.75" customHeight="1">
      <c r="A7" s="382" t="str">
        <f>txtMunicipality</f>
        <v>HOUTHULST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0.125833991101054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0.125833991101054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4034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4072.55</v>
      </c>
      <c r="C14" s="322"/>
      <c r="D14" s="322"/>
      <c r="E14" s="322"/>
      <c r="F14" s="322"/>
    </row>
    <row r="15" spans="1:6">
      <c r="A15" s="1248" t="s">
        <v>177</v>
      </c>
      <c r="B15" s="1249">
        <v>50</v>
      </c>
      <c r="C15" s="322"/>
      <c r="D15" s="322"/>
      <c r="E15" s="322"/>
      <c r="F15" s="322"/>
    </row>
    <row r="16" spans="1:6">
      <c r="A16" s="1248" t="s">
        <v>6</v>
      </c>
      <c r="B16" s="1249">
        <v>1689</v>
      </c>
      <c r="C16" s="322"/>
      <c r="D16" s="322"/>
      <c r="E16" s="322"/>
      <c r="F16" s="322"/>
    </row>
    <row r="17" spans="1:6">
      <c r="A17" s="1248" t="s">
        <v>7</v>
      </c>
      <c r="B17" s="1249">
        <v>1229</v>
      </c>
      <c r="C17" s="322"/>
      <c r="D17" s="322"/>
      <c r="E17" s="322"/>
      <c r="F17" s="322"/>
    </row>
    <row r="18" spans="1:6">
      <c r="A18" s="1248" t="s">
        <v>8</v>
      </c>
      <c r="B18" s="1249">
        <v>1821</v>
      </c>
      <c r="C18" s="322"/>
      <c r="D18" s="322"/>
      <c r="E18" s="322"/>
      <c r="F18" s="322"/>
    </row>
    <row r="19" spans="1:6">
      <c r="A19" s="1248" t="s">
        <v>9</v>
      </c>
      <c r="B19" s="1249">
        <v>1517</v>
      </c>
      <c r="C19" s="322"/>
      <c r="D19" s="322"/>
      <c r="E19" s="322"/>
      <c r="F19" s="322"/>
    </row>
    <row r="20" spans="1:6">
      <c r="A20" s="1248" t="s">
        <v>10</v>
      </c>
      <c r="B20" s="1249">
        <v>1175</v>
      </c>
      <c r="C20" s="322"/>
      <c r="D20" s="322"/>
      <c r="E20" s="322"/>
      <c r="F20" s="322"/>
    </row>
    <row r="21" spans="1:6">
      <c r="A21" s="1248" t="s">
        <v>11</v>
      </c>
      <c r="B21" s="1249">
        <v>23306</v>
      </c>
      <c r="C21" s="322"/>
      <c r="D21" s="322"/>
      <c r="E21" s="322"/>
      <c r="F21" s="322"/>
    </row>
    <row r="22" spans="1:6">
      <c r="A22" s="1248" t="s">
        <v>12</v>
      </c>
      <c r="B22" s="1249">
        <v>42756</v>
      </c>
      <c r="C22" s="322"/>
      <c r="D22" s="322"/>
      <c r="E22" s="322"/>
      <c r="F22" s="322"/>
    </row>
    <row r="23" spans="1:6">
      <c r="A23" s="1248" t="s">
        <v>13</v>
      </c>
      <c r="B23" s="1249">
        <v>1431</v>
      </c>
      <c r="C23" s="322"/>
      <c r="D23" s="322"/>
      <c r="E23" s="322"/>
      <c r="F23" s="322"/>
    </row>
    <row r="24" spans="1:6">
      <c r="A24" s="1248" t="s">
        <v>14</v>
      </c>
      <c r="B24" s="1249">
        <v>45</v>
      </c>
      <c r="C24" s="322"/>
      <c r="D24" s="322"/>
      <c r="E24" s="322"/>
      <c r="F24" s="322"/>
    </row>
    <row r="25" spans="1:6">
      <c r="A25" s="1248" t="s">
        <v>15</v>
      </c>
      <c r="B25" s="1249">
        <v>6142</v>
      </c>
      <c r="C25" s="322"/>
      <c r="D25" s="322"/>
      <c r="E25" s="322"/>
      <c r="F25" s="322"/>
    </row>
    <row r="26" spans="1:6">
      <c r="A26" s="1248" t="s">
        <v>16</v>
      </c>
      <c r="B26" s="1249">
        <v>372</v>
      </c>
      <c r="C26" s="322"/>
      <c r="D26" s="322"/>
      <c r="E26" s="322"/>
      <c r="F26" s="322"/>
    </row>
    <row r="27" spans="1:6">
      <c r="A27" s="1248" t="s">
        <v>17</v>
      </c>
      <c r="B27" s="1249">
        <v>12</v>
      </c>
      <c r="C27" s="322"/>
      <c r="D27" s="322"/>
      <c r="E27" s="322"/>
      <c r="F27" s="322"/>
    </row>
    <row r="28" spans="1:6">
      <c r="A28" s="1248" t="s">
        <v>18</v>
      </c>
      <c r="B28" s="1250">
        <v>116262</v>
      </c>
      <c r="C28" s="322"/>
      <c r="D28" s="322"/>
      <c r="E28" s="322"/>
      <c r="F28" s="322"/>
    </row>
    <row r="29" spans="1:6">
      <c r="A29" s="1248" t="s">
        <v>691</v>
      </c>
      <c r="B29" s="1250">
        <v>49</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147698.363038446</v>
      </c>
      <c r="E38" s="1249">
        <v>4</v>
      </c>
      <c r="F38" s="1249">
        <v>81579.321480190003</v>
      </c>
    </row>
    <row r="39" spans="1:6">
      <c r="A39" s="1248" t="s">
        <v>29</v>
      </c>
      <c r="B39" s="1248" t="s">
        <v>30</v>
      </c>
      <c r="C39" s="1249">
        <v>1673</v>
      </c>
      <c r="D39" s="1249">
        <v>23927647.506283399</v>
      </c>
      <c r="E39" s="1249">
        <v>3769</v>
      </c>
      <c r="F39" s="1249">
        <v>13979316.150431501</v>
      </c>
    </row>
    <row r="40" spans="1:6">
      <c r="A40" s="1248" t="s">
        <v>29</v>
      </c>
      <c r="B40" s="1248" t="s">
        <v>28</v>
      </c>
      <c r="C40" s="1249">
        <v>1</v>
      </c>
      <c r="D40" s="1249">
        <v>18726.219982893501</v>
      </c>
      <c r="E40" s="1249">
        <v>1</v>
      </c>
      <c r="F40" s="1249">
        <v>1480.6721409695999</v>
      </c>
    </row>
    <row r="41" spans="1:6">
      <c r="A41" s="1248" t="s">
        <v>31</v>
      </c>
      <c r="B41" s="1248" t="s">
        <v>32</v>
      </c>
      <c r="C41" s="1249">
        <v>34</v>
      </c>
      <c r="D41" s="1249">
        <v>606790.43111653405</v>
      </c>
      <c r="E41" s="1249">
        <v>103</v>
      </c>
      <c r="F41" s="1249">
        <v>3021013.6604893301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67276.620581804804</v>
      </c>
      <c r="E44" s="1249">
        <v>8</v>
      </c>
      <c r="F44" s="1249">
        <v>87395.149831036804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14</v>
      </c>
      <c r="D48" s="1249">
        <v>200731.46554449899</v>
      </c>
      <c r="E48" s="1249">
        <v>29</v>
      </c>
      <c r="F48" s="1249">
        <v>957360.14624729299</v>
      </c>
    </row>
    <row r="49" spans="1:6">
      <c r="A49" s="1248" t="s">
        <v>31</v>
      </c>
      <c r="B49" s="1248" t="s">
        <v>39</v>
      </c>
      <c r="C49" s="1249">
        <v>0</v>
      </c>
      <c r="D49" s="1249">
        <v>0</v>
      </c>
      <c r="E49" s="1249">
        <v>0</v>
      </c>
      <c r="F49" s="1249">
        <v>0</v>
      </c>
    </row>
    <row r="50" spans="1:6">
      <c r="A50" s="1248" t="s">
        <v>31</v>
      </c>
      <c r="B50" s="1248" t="s">
        <v>40</v>
      </c>
      <c r="C50" s="1249">
        <v>3</v>
      </c>
      <c r="D50" s="1249">
        <v>198261.77806208201</v>
      </c>
      <c r="E50" s="1249">
        <v>6</v>
      </c>
      <c r="F50" s="1249">
        <v>211243.55016738299</v>
      </c>
    </row>
    <row r="51" spans="1:6">
      <c r="A51" s="1248" t="s">
        <v>41</v>
      </c>
      <c r="B51" s="1248" t="s">
        <v>42</v>
      </c>
      <c r="C51" s="1249">
        <v>4</v>
      </c>
      <c r="D51" s="1249">
        <v>692054.91124178795</v>
      </c>
      <c r="E51" s="1249">
        <v>188</v>
      </c>
      <c r="F51" s="1249">
        <v>4768776.9742285898</v>
      </c>
    </row>
    <row r="52" spans="1:6">
      <c r="A52" s="1248" t="s">
        <v>41</v>
      </c>
      <c r="B52" s="1248" t="s">
        <v>28</v>
      </c>
      <c r="C52" s="1249">
        <v>6</v>
      </c>
      <c r="D52" s="1249">
        <v>113565.354270403</v>
      </c>
      <c r="E52" s="1249">
        <v>3</v>
      </c>
      <c r="F52" s="1249">
        <v>22329.578642990899</v>
      </c>
    </row>
    <row r="53" spans="1:6">
      <c r="A53" s="1248" t="s">
        <v>43</v>
      </c>
      <c r="B53" s="1248" t="s">
        <v>44</v>
      </c>
      <c r="C53" s="1249">
        <v>39</v>
      </c>
      <c r="D53" s="1249">
        <v>830276.79071698</v>
      </c>
      <c r="E53" s="1249">
        <v>128</v>
      </c>
      <c r="F53" s="1249">
        <v>485075.40702440002</v>
      </c>
    </row>
    <row r="54" spans="1:6">
      <c r="A54" s="1248" t="s">
        <v>45</v>
      </c>
      <c r="B54" s="1248" t="s">
        <v>46</v>
      </c>
      <c r="C54" s="1249">
        <v>0</v>
      </c>
      <c r="D54" s="1249">
        <v>0</v>
      </c>
      <c r="E54" s="1249">
        <v>1</v>
      </c>
      <c r="F54" s="1249">
        <v>653177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38</v>
      </c>
      <c r="D57" s="1249">
        <v>1494040.32575731</v>
      </c>
      <c r="E57" s="1249">
        <v>85</v>
      </c>
      <c r="F57" s="1249">
        <v>10438841.4778971</v>
      </c>
    </row>
    <row r="58" spans="1:6">
      <c r="A58" s="1248" t="s">
        <v>48</v>
      </c>
      <c r="B58" s="1248" t="s">
        <v>50</v>
      </c>
      <c r="C58" s="1249">
        <v>17</v>
      </c>
      <c r="D58" s="1249">
        <v>4819732.5127032697</v>
      </c>
      <c r="E58" s="1249">
        <v>27</v>
      </c>
      <c r="F58" s="1249">
        <v>1676839.13798685</v>
      </c>
    </row>
    <row r="59" spans="1:6">
      <c r="A59" s="1248" t="s">
        <v>48</v>
      </c>
      <c r="B59" s="1248" t="s">
        <v>51</v>
      </c>
      <c r="C59" s="1249">
        <v>18</v>
      </c>
      <c r="D59" s="1249">
        <v>414750.506194763</v>
      </c>
      <c r="E59" s="1249">
        <v>77</v>
      </c>
      <c r="F59" s="1249">
        <v>2343409.3722532699</v>
      </c>
    </row>
    <row r="60" spans="1:6">
      <c r="A60" s="1248" t="s">
        <v>48</v>
      </c>
      <c r="B60" s="1248" t="s">
        <v>52</v>
      </c>
      <c r="C60" s="1249">
        <v>17</v>
      </c>
      <c r="D60" s="1249">
        <v>589769.54859490204</v>
      </c>
      <c r="E60" s="1249">
        <v>36</v>
      </c>
      <c r="F60" s="1249">
        <v>627738.73784547194</v>
      </c>
    </row>
    <row r="61" spans="1:6">
      <c r="A61" s="1248" t="s">
        <v>48</v>
      </c>
      <c r="B61" s="1248" t="s">
        <v>53</v>
      </c>
      <c r="C61" s="1249">
        <v>9</v>
      </c>
      <c r="D61" s="1249">
        <v>121058.512209298</v>
      </c>
      <c r="E61" s="1249">
        <v>71</v>
      </c>
      <c r="F61" s="1249">
        <v>632967.38908422401</v>
      </c>
    </row>
    <row r="62" spans="1:6">
      <c r="A62" s="1248" t="s">
        <v>48</v>
      </c>
      <c r="B62" s="1248" t="s">
        <v>54</v>
      </c>
      <c r="C62" s="1249">
        <v>0</v>
      </c>
      <c r="D62" s="1249">
        <v>0</v>
      </c>
      <c r="E62" s="1249">
        <v>3</v>
      </c>
      <c r="F62" s="1249">
        <v>58494.421647569703</v>
      </c>
    </row>
    <row r="63" spans="1:6">
      <c r="A63" s="1248" t="s">
        <v>48</v>
      </c>
      <c r="B63" s="1248" t="s">
        <v>28</v>
      </c>
      <c r="C63" s="1249">
        <v>78</v>
      </c>
      <c r="D63" s="1249">
        <v>1759165.2285166399</v>
      </c>
      <c r="E63" s="1249">
        <v>91</v>
      </c>
      <c r="F63" s="1249">
        <v>901745.04538010899</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1675.5086489984001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71974.366596809705</v>
      </c>
      <c r="E68" s="1251">
        <v>6</v>
      </c>
      <c r="F68" s="1251">
        <v>79596.885405946305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29612839</v>
      </c>
      <c r="E73" s="439"/>
      <c r="F73" s="322"/>
    </row>
    <row r="74" spans="1:6">
      <c r="A74" s="1248" t="s">
        <v>63</v>
      </c>
      <c r="B74" s="1248" t="s">
        <v>617</v>
      </c>
      <c r="C74" s="1261" t="s">
        <v>619</v>
      </c>
      <c r="D74" s="1249">
        <v>2362142</v>
      </c>
      <c r="E74" s="439"/>
      <c r="F74" s="322"/>
    </row>
    <row r="75" spans="1:6">
      <c r="A75" s="1248" t="s">
        <v>64</v>
      </c>
      <c r="B75" s="1248" t="s">
        <v>616</v>
      </c>
      <c r="C75" s="1261" t="s">
        <v>620</v>
      </c>
      <c r="D75" s="1249">
        <v>23205432</v>
      </c>
      <c r="E75" s="439"/>
      <c r="F75" s="322"/>
    </row>
    <row r="76" spans="1:6">
      <c r="A76" s="1248" t="s">
        <v>64</v>
      </c>
      <c r="B76" s="1248" t="s">
        <v>617</v>
      </c>
      <c r="C76" s="1261" t="s">
        <v>621</v>
      </c>
      <c r="D76" s="1249">
        <v>1153156</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173250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2852.1102310545079</v>
      </c>
      <c r="C91" s="322"/>
      <c r="D91" s="322"/>
      <c r="E91" s="322"/>
      <c r="F91" s="322"/>
    </row>
    <row r="92" spans="1:6">
      <c r="A92" s="1243" t="s">
        <v>68</v>
      </c>
      <c r="B92" s="1244">
        <v>3254.6087895417127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340</v>
      </c>
      <c r="C97" s="322"/>
      <c r="D97" s="322"/>
      <c r="E97" s="322"/>
      <c r="F97" s="322"/>
    </row>
    <row r="98" spans="1:6">
      <c r="A98" s="1248" t="s">
        <v>71</v>
      </c>
      <c r="B98" s="1249">
        <v>1</v>
      </c>
      <c r="C98" s="322"/>
      <c r="D98" s="322"/>
      <c r="E98" s="322"/>
      <c r="F98" s="322"/>
    </row>
    <row r="99" spans="1:6">
      <c r="A99" s="1248" t="s">
        <v>72</v>
      </c>
      <c r="B99" s="1249">
        <v>307</v>
      </c>
      <c r="C99" s="322"/>
      <c r="D99" s="322"/>
      <c r="E99" s="322"/>
      <c r="F99" s="322"/>
    </row>
    <row r="100" spans="1:6">
      <c r="A100" s="1248" t="s">
        <v>73</v>
      </c>
      <c r="B100" s="1249">
        <v>296</v>
      </c>
      <c r="C100" s="322"/>
      <c r="D100" s="322"/>
      <c r="E100" s="322"/>
      <c r="F100" s="322"/>
    </row>
    <row r="101" spans="1:6">
      <c r="A101" s="1248" t="s">
        <v>74</v>
      </c>
      <c r="B101" s="1249">
        <v>121</v>
      </c>
      <c r="C101" s="322"/>
      <c r="D101" s="322"/>
      <c r="E101" s="322"/>
      <c r="F101" s="322"/>
    </row>
    <row r="102" spans="1:6">
      <c r="A102" s="1248" t="s">
        <v>75</v>
      </c>
      <c r="B102" s="1249">
        <v>54</v>
      </c>
      <c r="C102" s="322"/>
      <c r="D102" s="322"/>
      <c r="E102" s="322"/>
      <c r="F102" s="322"/>
    </row>
    <row r="103" spans="1:6">
      <c r="A103" s="1248" t="s">
        <v>76</v>
      </c>
      <c r="B103" s="1249">
        <v>320</v>
      </c>
      <c r="C103" s="322"/>
      <c r="D103" s="322"/>
      <c r="E103" s="322"/>
      <c r="F103" s="322"/>
    </row>
    <row r="104" spans="1:6">
      <c r="A104" s="1248" t="s">
        <v>77</v>
      </c>
      <c r="B104" s="1249">
        <v>1912</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16</v>
      </c>
      <c r="C123" s="1249">
        <v>8</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150</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43755.327681897594</v>
      </c>
      <c r="C3" s="43" t="s">
        <v>163</v>
      </c>
      <c r="D3" s="43"/>
      <c r="E3" s="153"/>
      <c r="F3" s="43"/>
      <c r="G3" s="43"/>
      <c r="H3" s="43"/>
      <c r="I3" s="43"/>
      <c r="J3" s="43"/>
      <c r="K3" s="96"/>
    </row>
    <row r="4" spans="1:11">
      <c r="A4" s="348" t="s">
        <v>164</v>
      </c>
      <c r="B4" s="49">
        <f>IF(ISERROR('SEAP template'!B78+'SEAP template'!C78),0,'SEAP template'!B78+'SEAP template'!C78)</f>
        <v>18841.719020596222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0.125833991101054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18192.857142857145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653.17700000000002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653.17700000000002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0.125833991101054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82.191868805413151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13980.796822572469</v>
      </c>
      <c r="C5" s="17">
        <f>IF(ISERROR('Eigen informatie GS &amp; warmtenet'!B57),0,'Eigen informatie GS &amp; warmtenet'!B57)</f>
        <v>0</v>
      </c>
      <c r="D5" s="30">
        <f>(SUM(HH_hh_gas_kWh,HH_rest_gas_kWh)/1000)*0.902</f>
        <v>21599.629101092196</v>
      </c>
      <c r="E5" s="17">
        <f>B32*B41</f>
        <v>1442.6506990627893</v>
      </c>
      <c r="F5" s="17">
        <f>B36*B45</f>
        <v>33439.520798659585</v>
      </c>
      <c r="G5" s="18"/>
      <c r="H5" s="17"/>
      <c r="I5" s="17"/>
      <c r="J5" s="17">
        <f>B35*B44+C35*C44</f>
        <v>171.84968139353853</v>
      </c>
      <c r="K5" s="17"/>
      <c r="L5" s="17"/>
      <c r="M5" s="17"/>
      <c r="N5" s="17">
        <f>B34*B43+C34*C43</f>
        <v>6543.4867334314295</v>
      </c>
      <c r="O5" s="17">
        <f>B52*B53*B54</f>
        <v>248.57000000000002</v>
      </c>
      <c r="P5" s="17">
        <f>B60*B61*B62/1000-B60*B61*B62/1000/B63</f>
        <v>438.5333333333333</v>
      </c>
    </row>
    <row r="6" spans="1:16">
      <c r="A6" s="16" t="s">
        <v>582</v>
      </c>
      <c r="B6" s="716">
        <f>kWh_PV_kleiner_dan_10kW</f>
        <v>2852.1102310545079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16832.907053626976</v>
      </c>
      <c r="C8" s="21">
        <f>C5</f>
        <v>0</v>
      </c>
      <c r="D8" s="21">
        <f>D5</f>
        <v>21599.629101092196</v>
      </c>
      <c r="E8" s="21">
        <f>E5</f>
        <v>1442.6506990627893</v>
      </c>
      <c r="F8" s="21">
        <f>F5</f>
        <v>33439.520798659585</v>
      </c>
      <c r="G8" s="21"/>
      <c r="H8" s="21"/>
      <c r="I8" s="21"/>
      <c r="J8" s="21">
        <f>J5</f>
        <v>171.84968139353853</v>
      </c>
      <c r="K8" s="21"/>
      <c r="L8" s="21">
        <f>L5</f>
        <v>0</v>
      </c>
      <c r="M8" s="21">
        <f>M5</f>
        <v>0</v>
      </c>
      <c r="N8" s="21">
        <f>N5</f>
        <v>6543.4867334314295</v>
      </c>
      <c r="O8" s="21">
        <f>O5</f>
        <v>248.57000000000002</v>
      </c>
      <c r="P8" s="21">
        <f>P5</f>
        <v>438.5333333333333</v>
      </c>
    </row>
    <row r="9" spans="1:16">
      <c r="B9" s="19"/>
      <c r="C9" s="19"/>
      <c r="D9" s="253"/>
      <c r="E9" s="19"/>
      <c r="F9" s="19"/>
      <c r="G9" s="19"/>
      <c r="H9" s="19"/>
      <c r="I9" s="19"/>
      <c r="J9" s="19"/>
      <c r="K9" s="19"/>
      <c r="L9" s="19"/>
      <c r="M9" s="19"/>
      <c r="N9" s="19"/>
      <c r="O9" s="19"/>
      <c r="P9" s="19"/>
    </row>
    <row r="10" spans="1:16">
      <c r="A10" s="24" t="s">
        <v>207</v>
      </c>
      <c r="B10" s="25">
        <f ca="1">'EF ele_warmte'!B12</f>
        <v>0.125833991101054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2118.1518763909662</v>
      </c>
      <c r="C12" s="23">
        <f ca="1">C10*C8</f>
        <v>0</v>
      </c>
      <c r="D12" s="23">
        <f>D8*D10</f>
        <v>4363.125078420624</v>
      </c>
      <c r="E12" s="23">
        <f>E10*E8</f>
        <v>327.48170868725316</v>
      </c>
      <c r="F12" s="23">
        <f>F10*F8</f>
        <v>8928.3520532421098</v>
      </c>
      <c r="G12" s="23"/>
      <c r="H12" s="23"/>
      <c r="I12" s="23"/>
      <c r="J12" s="23">
        <f>J10*J8</f>
        <v>60.834787213312637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4034</v>
      </c>
      <c r="C26" s="36"/>
      <c r="D26" s="224"/>
    </row>
    <row r="27" spans="1:5" s="15" customFormat="1">
      <c r="A27" s="226" t="s">
        <v>736</v>
      </c>
      <c r="B27" s="37">
        <f>SUM(HH_hh_gas_aantal,HH_rest_gas_aantal)</f>
        <v>1674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1590.3</v>
      </c>
      <c r="C31" s="34" t="s">
        <v>104</v>
      </c>
      <c r="D31" s="170"/>
    </row>
    <row r="32" spans="1:5">
      <c r="A32" s="167" t="s">
        <v>72</v>
      </c>
      <c r="B32" s="33">
        <f>IF((B21*($B$26-($B$27-0.05*$B$27)-$B$60))&lt;0,0,B21*($B$26-($B$27-0.05*$B$27)-$B$60))</f>
        <v>26.658764948526681</v>
      </c>
      <c r="C32" s="34" t="s">
        <v>104</v>
      </c>
      <c r="D32" s="170"/>
    </row>
    <row r="33" spans="1:6">
      <c r="A33" s="167" t="s">
        <v>73</v>
      </c>
      <c r="B33" s="33">
        <f>IF((B22*($B$26-($B$27-0.05*$B$27)-$B$60))&lt;0,0,B22*($B$26-($B$27-0.05*$B$27)-$B$60))</f>
        <v>554.25811049180697</v>
      </c>
      <c r="C33" s="34" t="s">
        <v>104</v>
      </c>
      <c r="D33" s="170"/>
    </row>
    <row r="34" spans="1:6">
      <c r="A34" s="167" t="s">
        <v>74</v>
      </c>
      <c r="B34" s="33">
        <f>IF((B24*($B$26-($B$27-0.05*$B$27)-$B$60))&lt;0,0,B24*($B$26-($B$27-0.05*$B$27)-$B$60))</f>
        <v>216.32504039311826</v>
      </c>
      <c r="C34" s="33">
        <f>B26*C24</f>
        <v>714.52079274636287</v>
      </c>
      <c r="D34" s="229"/>
    </row>
    <row r="35" spans="1:6">
      <c r="A35" s="167" t="s">
        <v>76</v>
      </c>
      <c r="B35" s="33">
        <f>IF((B19*($B$26-($B$27-0.05*$B$27)-$B$60))&lt;0,0,B19*($B$26-($B$27-0.05*$B$27)-$B$60))</f>
        <v>20.177810433349372</v>
      </c>
      <c r="C35" s="33">
        <f>B35/2</f>
        <v>10.088905216674686</v>
      </c>
      <c r="D35" s="229"/>
    </row>
    <row r="36" spans="1:6">
      <c r="A36" s="167" t="s">
        <v>77</v>
      </c>
      <c r="B36" s="33">
        <f>IF((B18*($B$26-($B$27-0.05*$B$27)-$B$60))&lt;0,0,B18*($B$26-($B$27-0.05*$B$27)-$B$60))</f>
        <v>1603.2802737331986</v>
      </c>
      <c r="C36" s="34" t="s">
        <v>104</v>
      </c>
      <c r="D36" s="170"/>
    </row>
    <row r="37" spans="1:6">
      <c r="A37" s="167" t="s">
        <v>78</v>
      </c>
      <c r="B37" s="33">
        <f>B60</f>
        <v>23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16680.035582094595</v>
      </c>
      <c r="C5" s="17">
        <f>IF(ISERROR('Eigen informatie GS &amp; warmtenet'!B58),0,'Eigen informatie GS &amp; warmtenet'!B58)</f>
        <v>0</v>
      </c>
      <c r="D5" s="30">
        <f>SUM(D6:D12)</f>
        <v>8297.0620038465167</v>
      </c>
      <c r="E5" s="17">
        <f>SUM(E6:E12)</f>
        <v>236.93685618273014</v>
      </c>
      <c r="F5" s="17">
        <f>SUM(F6:F12)</f>
        <v>7068.306838398772</v>
      </c>
      <c r="G5" s="18"/>
      <c r="H5" s="17"/>
      <c r="I5" s="17"/>
      <c r="J5" s="17">
        <f>SUM(J6:J12)</f>
        <v>0.11643446868849873</v>
      </c>
      <c r="K5" s="17"/>
      <c r="L5" s="17"/>
      <c r="M5" s="17"/>
      <c r="N5" s="17">
        <f>SUM(N6:N12)</f>
        <v>4524.7479384637154</v>
      </c>
      <c r="O5" s="17">
        <f>B38*B39*B40</f>
        <v>1.5633333333333335</v>
      </c>
      <c r="P5" s="17">
        <f>B46*B47*B48/1000-B46*B47*B48/1000/B49</f>
        <v>38.133333333333333</v>
      </c>
      <c r="R5" s="32"/>
    </row>
    <row r="6" spans="1:18">
      <c r="A6" s="32" t="s">
        <v>53</v>
      </c>
      <c r="B6" s="37">
        <f>B26</f>
        <v>632.96738908422401</v>
      </c>
      <c r="C6" s="33"/>
      <c r="D6" s="37">
        <f>IF(ISERROR(TER_kantoor_gas_kWh/1000),0,TER_kantoor_gas_kWh/1000)*0.902</f>
        <v>109.1947780127868</v>
      </c>
      <c r="E6" s="33">
        <f>$C$26*'E Balans VL '!I12/100/3.6*1000000</f>
        <v>-5.1974861733001377E-5</v>
      </c>
      <c r="F6" s="33">
        <f>$C$26*('E Balans VL '!L12+'E Balans VL '!N12)/100/3.6*1000000</f>
        <v>80.216831038374622</v>
      </c>
      <c r="G6" s="34"/>
      <c r="H6" s="33"/>
      <c r="I6" s="33"/>
      <c r="J6" s="33">
        <f>$C$26*('E Balans VL '!D12+'E Balans VL '!E12)/100/3.6*1000000</f>
        <v>0</v>
      </c>
      <c r="K6" s="33"/>
      <c r="L6" s="33"/>
      <c r="M6" s="33"/>
      <c r="N6" s="33">
        <f>$C$26*'E Balans VL '!Y12/100/3.6*1000000</f>
        <v>0.77637194225269235</v>
      </c>
      <c r="O6" s="33"/>
      <c r="P6" s="33"/>
      <c r="R6" s="32"/>
    </row>
    <row r="7" spans="1:18">
      <c r="A7" s="32" t="s">
        <v>52</v>
      </c>
      <c r="B7" s="37">
        <f t="shared" ref="B7:B12" si="0">B27</f>
        <v>627.73873784547197</v>
      </c>
      <c r="C7" s="33"/>
      <c r="D7" s="37">
        <f>IF(ISERROR(TER_horeca_gas_kWh/1000),0,TER_horeca_gas_kWh/1000)*0.902</f>
        <v>531.97213283260169</v>
      </c>
      <c r="E7" s="33">
        <f>$C$27*'E Balans VL '!I9/100/3.6*1000000</f>
        <v>7.2255803001815817</v>
      </c>
      <c r="F7" s="33">
        <f>$C$27*('E Balans VL '!L9+'E Balans VL '!N9)/100/3.6*1000000</f>
        <v>80.936763983376238</v>
      </c>
      <c r="G7" s="34"/>
      <c r="H7" s="33"/>
      <c r="I7" s="33"/>
      <c r="J7" s="33">
        <f>$C$27*('E Balans VL '!D9+'E Balans VL '!E9)/100/3.6*1000000</f>
        <v>0</v>
      </c>
      <c r="K7" s="33"/>
      <c r="L7" s="33"/>
      <c r="M7" s="33"/>
      <c r="N7" s="33">
        <f>$C$27*'E Balans VL '!Y9/100/3.6*1000000</f>
        <v>6.6256385250256393</v>
      </c>
      <c r="O7" s="33"/>
      <c r="P7" s="33"/>
      <c r="R7" s="32"/>
    </row>
    <row r="8" spans="1:18">
      <c r="A8" s="6" t="s">
        <v>51</v>
      </c>
      <c r="B8" s="37">
        <f t="shared" si="0"/>
        <v>2343.4093722532698</v>
      </c>
      <c r="C8" s="33"/>
      <c r="D8" s="37">
        <f>IF(ISERROR(TER_handel_gas_kWh/1000),0,TER_handel_gas_kWh/1000)*0.902</f>
        <v>374.10495658767621</v>
      </c>
      <c r="E8" s="33">
        <f>$C$28*'E Balans VL '!I13/100/3.6*1000000</f>
        <v>66.117901078282316</v>
      </c>
      <c r="F8" s="33">
        <f>$C$28*('E Balans VL '!L13+'E Balans VL '!N13)/100/3.6*1000000</f>
        <v>235.69674295962827</v>
      </c>
      <c r="G8" s="34"/>
      <c r="H8" s="33"/>
      <c r="I8" s="33"/>
      <c r="J8" s="33">
        <f>$C$28*('E Balans VL '!D13+'E Balans VL '!E13)/100/3.6*1000000</f>
        <v>0</v>
      </c>
      <c r="K8" s="33"/>
      <c r="L8" s="33"/>
      <c r="M8" s="33"/>
      <c r="N8" s="33">
        <f>$C$28*'E Balans VL '!Y13/100/3.6*1000000</f>
        <v>3.2348141500725052</v>
      </c>
      <c r="O8" s="33"/>
      <c r="P8" s="33"/>
      <c r="R8" s="32"/>
    </row>
    <row r="9" spans="1:18">
      <c r="A9" s="32" t="s">
        <v>50</v>
      </c>
      <c r="B9" s="37">
        <f t="shared" si="0"/>
        <v>1676.8391379868499</v>
      </c>
      <c r="C9" s="33"/>
      <c r="D9" s="37">
        <f>IF(ISERROR(TER_gezond_gas_kWh/1000),0,TER_gezond_gas_kWh/1000)*0.902</f>
        <v>4347.3987264583493</v>
      </c>
      <c r="E9" s="33">
        <f>$C$29*'E Balans VL '!I10/100/3.6*1000000</f>
        <v>3.3498083557680864</v>
      </c>
      <c r="F9" s="33">
        <f>$C$29*('E Balans VL '!L10+'E Balans VL '!N10)/100/3.6*1000000</f>
        <v>146.92474424552904</v>
      </c>
      <c r="G9" s="34"/>
      <c r="H9" s="33"/>
      <c r="I9" s="33"/>
      <c r="J9" s="33">
        <f>$C$29*('E Balans VL '!D10+'E Balans VL '!E10)/100/3.6*1000000</f>
        <v>0</v>
      </c>
      <c r="K9" s="33"/>
      <c r="L9" s="33"/>
      <c r="M9" s="33"/>
      <c r="N9" s="33">
        <f>$C$29*'E Balans VL '!Y10/100/3.6*1000000</f>
        <v>25.364602288399364</v>
      </c>
      <c r="O9" s="33"/>
      <c r="P9" s="33"/>
      <c r="R9" s="32"/>
    </row>
    <row r="10" spans="1:18">
      <c r="A10" s="32" t="s">
        <v>49</v>
      </c>
      <c r="B10" s="37">
        <f t="shared" si="0"/>
        <v>10438.8414778971</v>
      </c>
      <c r="C10" s="33"/>
      <c r="D10" s="37">
        <f>IF(ISERROR(TER_ander_gas_kWh/1000),0,TER_ander_gas_kWh/1000)*0.902</f>
        <v>1347.6243738330936</v>
      </c>
      <c r="E10" s="33">
        <f>$C$30*'E Balans VL '!I14/100/3.6*1000000</f>
        <v>147.05808640317201</v>
      </c>
      <c r="F10" s="33">
        <f>$C$30*('E Balans VL '!L14+'E Balans VL '!N14)/100/3.6*1000000</f>
        <v>6332.3350754137991</v>
      </c>
      <c r="G10" s="34"/>
      <c r="H10" s="33"/>
      <c r="I10" s="33"/>
      <c r="J10" s="33">
        <f>$C$30*('E Balans VL '!D14+'E Balans VL '!E14)/100/3.6*1000000</f>
        <v>0.11459841205829356</v>
      </c>
      <c r="K10" s="33"/>
      <c r="L10" s="33"/>
      <c r="M10" s="33"/>
      <c r="N10" s="33">
        <f>$C$30*'E Balans VL '!Y14/100/3.6*1000000</f>
        <v>4414.9122346136337</v>
      </c>
      <c r="O10" s="33"/>
      <c r="P10" s="33"/>
      <c r="R10" s="32"/>
    </row>
    <row r="11" spans="1:18">
      <c r="A11" s="32" t="s">
        <v>54</v>
      </c>
      <c r="B11" s="37">
        <f t="shared" si="0"/>
        <v>58.494421647569702</v>
      </c>
      <c r="C11" s="33"/>
      <c r="D11" s="37">
        <f>IF(ISERROR(TER_onderwijs_gas_kWh/1000),0,TER_onderwijs_gas_kWh/1000)*0.902</f>
        <v>0</v>
      </c>
      <c r="E11" s="33">
        <f>$C$31*'E Balans VL '!I11/100/3.6*1000000</f>
        <v>1.5267331569524316</v>
      </c>
      <c r="F11" s="33">
        <f>$C$31*('E Balans VL '!L11+'E Balans VL '!N11)/100/3.6*1000000</f>
        <v>7.1982301162871956</v>
      </c>
      <c r="G11" s="34"/>
      <c r="H11" s="33"/>
      <c r="I11" s="33"/>
      <c r="J11" s="33">
        <f>$C$31*('E Balans VL '!D11+'E Balans VL '!E11)/100/3.6*1000000</f>
        <v>0</v>
      </c>
      <c r="K11" s="33"/>
      <c r="L11" s="33"/>
      <c r="M11" s="33"/>
      <c r="N11" s="33">
        <f>$C$31*'E Balans VL '!Y11/100/3.6*1000000</f>
        <v>0.18523457595494924</v>
      </c>
      <c r="O11" s="33"/>
      <c r="P11" s="33"/>
      <c r="R11" s="32"/>
    </row>
    <row r="12" spans="1:18">
      <c r="A12" s="32" t="s">
        <v>248</v>
      </c>
      <c r="B12" s="37">
        <f t="shared" si="0"/>
        <v>901.74504538010899</v>
      </c>
      <c r="C12" s="33"/>
      <c r="D12" s="37">
        <f>IF(ISERROR(TER_rest_gas_kWh/1000),0,TER_rest_gas_kWh/1000)*0.902</f>
        <v>1586.7670361220091</v>
      </c>
      <c r="E12" s="33">
        <f>$C$32*'E Balans VL '!I8/100/3.6*1000000</f>
        <v>11.658798863235457</v>
      </c>
      <c r="F12" s="33">
        <f>$C$32*('E Balans VL '!L8+'E Balans VL '!N8)/100/3.6*1000000</f>
        <v>184.99845064177802</v>
      </c>
      <c r="G12" s="34"/>
      <c r="H12" s="33"/>
      <c r="I12" s="33"/>
      <c r="J12" s="33">
        <f>$C$32*('E Balans VL '!D8+'E Balans VL '!E8)/100/3.6*1000000</f>
        <v>1.8360566302051656E-3</v>
      </c>
      <c r="K12" s="33"/>
      <c r="L12" s="33"/>
      <c r="M12" s="33"/>
      <c r="N12" s="33">
        <f>$C$32*'E Balans VL '!Y8/100/3.6*1000000</f>
        <v>73.649042368376627</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16680.035582094595</v>
      </c>
      <c r="C16" s="21">
        <f t="shared" ca="1" si="1"/>
        <v>0</v>
      </c>
      <c r="D16" s="21">
        <f t="shared" ca="1" si="1"/>
        <v>8297.0620038465167</v>
      </c>
      <c r="E16" s="21">
        <f t="shared" si="1"/>
        <v>236.93685618273014</v>
      </c>
      <c r="F16" s="21">
        <f t="shared" ca="1" si="1"/>
        <v>7068.306838398772</v>
      </c>
      <c r="G16" s="21">
        <f t="shared" si="1"/>
        <v>0</v>
      </c>
      <c r="H16" s="21">
        <f t="shared" si="1"/>
        <v>0</v>
      </c>
      <c r="I16" s="21">
        <f t="shared" si="1"/>
        <v>0</v>
      </c>
      <c r="J16" s="21">
        <f t="shared" si="1"/>
        <v>0.11643446868849873</v>
      </c>
      <c r="K16" s="21">
        <f t="shared" si="1"/>
        <v>0</v>
      </c>
      <c r="L16" s="21">
        <f t="shared" ca="1" si="1"/>
        <v>0</v>
      </c>
      <c r="M16" s="21">
        <f t="shared" si="1"/>
        <v>0</v>
      </c>
      <c r="N16" s="21">
        <f t="shared" ca="1" si="1"/>
        <v>4524.7479384637154</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0.125833991101054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2098.9154490025553</v>
      </c>
      <c r="C20" s="23">
        <f t="shared" ref="C20:P20" ca="1" si="2">C16*C18</f>
        <v>0</v>
      </c>
      <c r="D20" s="23">
        <f t="shared" ca="1" si="2"/>
        <v>1676.0065247769965</v>
      </c>
      <c r="E20" s="23">
        <f t="shared" si="2"/>
        <v>53.784666353479743</v>
      </c>
      <c r="F20" s="23">
        <f t="shared" ca="1" si="2"/>
        <v>1887.2379258524722</v>
      </c>
      <c r="G20" s="23">
        <f t="shared" si="2"/>
        <v>0</v>
      </c>
      <c r="H20" s="23">
        <f t="shared" si="2"/>
        <v>0</v>
      </c>
      <c r="I20" s="23">
        <f t="shared" si="2"/>
        <v>0</v>
      </c>
      <c r="J20" s="23">
        <f t="shared" si="2"/>
        <v>4.1217801915728547E-2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632.96738908422401</v>
      </c>
      <c r="C26" s="39">
        <f>IF(ISERROR(B26*3.6/1000000/'E Balans VL '!Z12*100),0,B26*3.6/1000000/'E Balans VL '!Z12*100)</f>
        <v>1.7160289889095279E-2</v>
      </c>
      <c r="D26" s="232" t="s">
        <v>700</v>
      </c>
      <c r="F26" s="6"/>
    </row>
    <row r="27" spans="1:18">
      <c r="A27" s="227" t="s">
        <v>52</v>
      </c>
      <c r="B27" s="33">
        <f>IF(ISERROR(TER_horeca_ele_kWh/1000),0,TER_horeca_ele_kWh/1000)</f>
        <v>627.73873784547197</v>
      </c>
      <c r="C27" s="39">
        <f>IF(ISERROR(B27*3.6/1000000/'E Balans VL '!Z9*100),0,B27*3.6/1000000/'E Balans VL '!Z9*100)</f>
        <v>4.855624985800288E-2</v>
      </c>
      <c r="D27" s="232" t="s">
        <v>700</v>
      </c>
      <c r="F27" s="6"/>
    </row>
    <row r="28" spans="1:18">
      <c r="A28" s="167" t="s">
        <v>51</v>
      </c>
      <c r="B28" s="33">
        <f>IF(ISERROR(TER_handel_ele_kWh/1000),0,TER_handel_ele_kWh/1000)</f>
        <v>2343.4093722532698</v>
      </c>
      <c r="C28" s="39">
        <f>IF(ISERROR(B28*3.6/1000000/'E Balans VL '!Z13*100),0,B28*3.6/1000000/'E Balans VL '!Z13*100)</f>
        <v>6.7777459820117986E-2</v>
      </c>
      <c r="D28" s="232" t="s">
        <v>700</v>
      </c>
      <c r="F28" s="6"/>
    </row>
    <row r="29" spans="1:18">
      <c r="A29" s="227" t="s">
        <v>50</v>
      </c>
      <c r="B29" s="33">
        <f>IF(ISERROR(TER_gezond_ele_kWh/1000),0,TER_gezond_ele_kWh/1000)</f>
        <v>1676.8391379868499</v>
      </c>
      <c r="C29" s="39">
        <f>IF(ISERROR(B29*3.6/1000000/'E Balans VL '!Z10*100),0,B29*3.6/1000000/'E Balans VL '!Z10*100)</f>
        <v>0.17269798647534912</v>
      </c>
      <c r="D29" s="232" t="s">
        <v>700</v>
      </c>
      <c r="F29" s="6"/>
    </row>
    <row r="30" spans="1:18">
      <c r="A30" s="227" t="s">
        <v>49</v>
      </c>
      <c r="B30" s="33">
        <f>IF(ISERROR(TER_ander_ele_kWh/1000),0,TER_ander_ele_kWh/1000)</f>
        <v>10438.8414778971</v>
      </c>
      <c r="C30" s="39">
        <f>IF(ISERROR(B30*3.6/1000000/'E Balans VL '!Z14*100),0,B30*3.6/1000000/'E Balans VL '!Z14*100)</f>
        <v>0.46934503232065616</v>
      </c>
      <c r="D30" s="232" t="s">
        <v>700</v>
      </c>
      <c r="F30" s="6"/>
    </row>
    <row r="31" spans="1:18">
      <c r="A31" s="227" t="s">
        <v>54</v>
      </c>
      <c r="B31" s="33">
        <f>IF(ISERROR(TER_onderwijs_ele_kWh/1000),0,TER_onderwijs_ele_kWh/1000)</f>
        <v>58.494421647569702</v>
      </c>
      <c r="C31" s="39">
        <f>IF(ISERROR(B31*3.6/1000000/'E Balans VL '!Z11*100),0,B31*3.6/1000000/'E Balans VL '!Z11*100)</f>
        <v>1.6347256340582157E-2</v>
      </c>
      <c r="D31" s="232" t="s">
        <v>700</v>
      </c>
    </row>
    <row r="32" spans="1:18">
      <c r="A32" s="227" t="s">
        <v>248</v>
      </c>
      <c r="B32" s="33">
        <f>IF(ISERROR(TER_rest_ele_kWh/1000),0,TER_rest_ele_kWh/1000)</f>
        <v>901.74504538010899</v>
      </c>
      <c r="C32" s="39">
        <f>IF(ISERROR(B32*3.6/1000000/'E Balans VL '!Z8*100),0,B32*3.6/1000000/'E Balans VL '!Z8*100)</f>
        <v>7.5196858574955588E-3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4277.0125067350427</v>
      </c>
      <c r="C5" s="17">
        <f>IF(ISERROR('Eigen informatie GS &amp; warmtenet'!B59),0,'Eigen informatie GS &amp; warmtenet'!B59)</f>
        <v>0</v>
      </c>
      <c r="D5" s="30">
        <f>SUM(D6:D15)</f>
        <v>967.90038636503766</v>
      </c>
      <c r="E5" s="17">
        <f>SUM(E6:E15)</f>
        <v>70.568467516637043</v>
      </c>
      <c r="F5" s="17">
        <f>SUM(F6:F15)</f>
        <v>2182.0641121985354</v>
      </c>
      <c r="G5" s="18"/>
      <c r="H5" s="17"/>
      <c r="I5" s="17"/>
      <c r="J5" s="17">
        <f>SUM(J6:J15)</f>
        <v>3.3714262621851603</v>
      </c>
      <c r="K5" s="17"/>
      <c r="L5" s="17"/>
      <c r="M5" s="17"/>
      <c r="N5" s="17">
        <f>SUM(N6:N15)</f>
        <v>171.86421084579715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87.395149831036804</v>
      </c>
      <c r="C8" s="33"/>
      <c r="D8" s="37">
        <f>IF( ISERROR(IND_metaal_Gas_kWH/1000),0,IND_metaal_Gas_kWH/1000)*0.902</f>
        <v>60.683511764787937</v>
      </c>
      <c r="E8" s="33">
        <f>C30*'E Balans VL '!I18/100/3.6*1000000</f>
        <v>0.7931377611392717</v>
      </c>
      <c r="F8" s="33">
        <f>C30*'E Balans VL '!L18/100/3.6*1000000+C30*'E Balans VL '!N18/100/3.6*1000000</f>
        <v>8.0440316966374859</v>
      </c>
      <c r="G8" s="34"/>
      <c r="H8" s="33"/>
      <c r="I8" s="33"/>
      <c r="J8" s="40">
        <f>C30*'E Balans VL '!D18/100/3.6*1000000+C30*'E Balans VL '!E18/100/3.6*1000000</f>
        <v>0</v>
      </c>
      <c r="K8" s="33"/>
      <c r="L8" s="33"/>
      <c r="M8" s="33"/>
      <c r="N8" s="33">
        <f>C30*'E Balans VL '!Y18/100/3.6*1000000</f>
        <v>1.2759003649803611</v>
      </c>
      <c r="O8" s="33"/>
      <c r="P8" s="33"/>
      <c r="R8" s="32"/>
    </row>
    <row r="9" spans="1:18">
      <c r="A9" s="6" t="s">
        <v>32</v>
      </c>
      <c r="B9" s="37">
        <f t="shared" si="0"/>
        <v>3021.0136604893301</v>
      </c>
      <c r="C9" s="33"/>
      <c r="D9" s="37">
        <f>IF( ISERROR(IND_andere_gas_kWh/1000),0,IND_andere_gas_kWh/1000)*0.902</f>
        <v>547.32496886711374</v>
      </c>
      <c r="E9" s="33">
        <f>C31*'E Balans VL '!I19/100/3.6*1000000</f>
        <v>17.534646023336837</v>
      </c>
      <c r="F9" s="33">
        <f>C31*'E Balans VL '!L19/100/3.6*1000000+C31*'E Balans VL '!N19/100/3.6*1000000</f>
        <v>1992.3245869010673</v>
      </c>
      <c r="G9" s="34"/>
      <c r="H9" s="33"/>
      <c r="I9" s="33"/>
      <c r="J9" s="40">
        <f>C31*'E Balans VL '!D19/100/3.6*1000000+C31*'E Balans VL '!E19/100/3.6*1000000</f>
        <v>0</v>
      </c>
      <c r="K9" s="33"/>
      <c r="L9" s="33"/>
      <c r="M9" s="33"/>
      <c r="N9" s="33">
        <f>C31*'E Balans VL '!Y19/100/3.6*1000000</f>
        <v>139.90576865964604</v>
      </c>
      <c r="O9" s="33"/>
      <c r="P9" s="33"/>
      <c r="R9" s="32"/>
    </row>
    <row r="10" spans="1:18">
      <c r="A10" s="6" t="s">
        <v>40</v>
      </c>
      <c r="B10" s="37">
        <f t="shared" si="0"/>
        <v>211.24355016738298</v>
      </c>
      <c r="C10" s="33"/>
      <c r="D10" s="37">
        <f>IF( ISERROR(IND_voed_gas_kWh/1000),0,IND_voed_gas_kWh/1000)*0.902</f>
        <v>178.83212381199797</v>
      </c>
      <c r="E10" s="33">
        <f>C32*'E Balans VL '!I20/100/3.6*1000000</f>
        <v>0.4476743568724964</v>
      </c>
      <c r="F10" s="33">
        <f>C32*'E Balans VL '!L20/100/3.6*1000000+C32*'E Balans VL '!N20/100/3.6*1000000</f>
        <v>13.425400225736849</v>
      </c>
      <c r="G10" s="34"/>
      <c r="H10" s="33"/>
      <c r="I10" s="33"/>
      <c r="J10" s="40">
        <f>C32*'E Balans VL '!D20/100/3.6*1000000+C32*'E Balans VL '!E20/100/3.6*1000000</f>
        <v>0</v>
      </c>
      <c r="K10" s="33"/>
      <c r="L10" s="33"/>
      <c r="M10" s="33"/>
      <c r="N10" s="33">
        <f>C32*'E Balans VL '!Y20/100/3.6*1000000</f>
        <v>6.1237165486677902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957.36014624729296</v>
      </c>
      <c r="C15" s="33"/>
      <c r="D15" s="37">
        <f>IF( ISERROR(IND_rest_gas_kWh/1000),0,IND_rest_gas_kWh/1000)*0.902</f>
        <v>181.0597819211381</v>
      </c>
      <c r="E15" s="33">
        <f>C37*'E Balans VL '!I15/100/3.6*1000000</f>
        <v>51.793009375288442</v>
      </c>
      <c r="F15" s="33">
        <f>C37*'E Balans VL '!L15/100/3.6*1000000+C37*'E Balans VL '!N15/100/3.6*1000000</f>
        <v>168.27009337509412</v>
      </c>
      <c r="G15" s="34"/>
      <c r="H15" s="33"/>
      <c r="I15" s="33"/>
      <c r="J15" s="40">
        <f>C37*'E Balans VL '!D15/100/3.6*1000000+C37*'E Balans VL '!E15/100/3.6*1000000</f>
        <v>3.3714262621851603</v>
      </c>
      <c r="K15" s="33"/>
      <c r="L15" s="33"/>
      <c r="M15" s="33"/>
      <c r="N15" s="33">
        <f>C37*'E Balans VL '!Y15/100/3.6*1000000</f>
        <v>24.55882527250294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4277.0125067350427</v>
      </c>
      <c r="C18" s="21">
        <f>C5+C16</f>
        <v>0</v>
      </c>
      <c r="D18" s="21">
        <f>MAX((D5+D16),0)</f>
        <v>967.90038636503766</v>
      </c>
      <c r="E18" s="21">
        <f>MAX((E5+E16),0)</f>
        <v>70.568467516637043</v>
      </c>
      <c r="F18" s="21">
        <f>MAX((F5+F16),0)</f>
        <v>2182.0641121985354</v>
      </c>
      <c r="G18" s="21"/>
      <c r="H18" s="21"/>
      <c r="I18" s="21"/>
      <c r="J18" s="21">
        <f>MAX((J5+J16),0)</f>
        <v>3.3714262621851603</v>
      </c>
      <c r="K18" s="21"/>
      <c r="L18" s="21">
        <f>MAX((L5+L16),0)</f>
        <v>0</v>
      </c>
      <c r="M18" s="21"/>
      <c r="N18" s="21">
        <f>MAX((N5+N16),0)</f>
        <v>171.86421084579715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0.125833991101054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538.19355371159406</v>
      </c>
      <c r="C22" s="23">
        <f ca="1">C18*C20</f>
        <v>0</v>
      </c>
      <c r="D22" s="23">
        <f>D18*D20</f>
        <v>195.51587804573762</v>
      </c>
      <c r="E22" s="23">
        <f>E18*E20</f>
        <v>16.019042126276609</v>
      </c>
      <c r="F22" s="23">
        <f>F18*F20</f>
        <v>582.61111795700901</v>
      </c>
      <c r="G22" s="23"/>
      <c r="H22" s="23"/>
      <c r="I22" s="23"/>
      <c r="J22" s="23">
        <f>J18*J20</f>
        <v>1.1934848968135467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87.395149831036804</v>
      </c>
      <c r="C30" s="39">
        <f>IF(ISERROR(B30*3.6/1000000/'E Balans VL '!Z18*100),0,B30*3.6/1000000/'E Balans VL '!Z18*100)</f>
        <v>5.0683609875013282E-3</v>
      </c>
      <c r="D30" s="232" t="s">
        <v>700</v>
      </c>
    </row>
    <row r="31" spans="1:18">
      <c r="A31" s="6" t="s">
        <v>32</v>
      </c>
      <c r="B31" s="37">
        <f>IF( ISERROR(IND_ander_ele_kWh/1000),0,IND_ander_ele_kWh/1000)</f>
        <v>3021.0136604893301</v>
      </c>
      <c r="C31" s="39">
        <f>IF(ISERROR(B31*3.6/1000000/'E Balans VL '!Z19*100),0,B31*3.6/1000000/'E Balans VL '!Z19*100)</f>
        <v>0.12616889878623708</v>
      </c>
      <c r="D31" s="232" t="s">
        <v>700</v>
      </c>
    </row>
    <row r="32" spans="1:18">
      <c r="A32" s="167" t="s">
        <v>40</v>
      </c>
      <c r="B32" s="37">
        <f>IF( ISERROR(IND_voed_ele_kWh/1000),0,IND_voed_ele_kWh/1000)</f>
        <v>211.24355016738298</v>
      </c>
      <c r="C32" s="39">
        <f>IF(ISERROR(B32*3.6/1000000/'E Balans VL '!Z20*100),0,B32*3.6/1000000/'E Balans VL '!Z20*100)</f>
        <v>6.5519426031622717E-3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957.36014624729296</v>
      </c>
      <c r="C37" s="39">
        <f>IF(ISERROR(B37*3.6/1000000/'E Balans VL '!Z15*100),0,B37*3.6/1000000/'E Balans VL '!Z15*100)</f>
        <v>7.4644792108400759E-3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4791.1065528715799</v>
      </c>
      <c r="C5" s="17">
        <f>'Eigen informatie GS &amp; warmtenet'!B60</f>
        <v>0</v>
      </c>
      <c r="D5" s="30">
        <f>IF(ISERROR(SUM(LB_lb_gas_kWh,LB_rest_gas_kWh)/1000),0,SUM(LB_lb_gas_kWh,LB_rest_gas_kWh)/1000)*0.902</f>
        <v>726.6694794919963</v>
      </c>
      <c r="E5" s="17">
        <f>B17*'E Balans VL '!I25/3.6*1000000/100</f>
        <v>155.48715727484472</v>
      </c>
      <c r="F5" s="17">
        <f>B17*('E Balans VL '!L25/3.6*1000000+'E Balans VL '!N25/3.6*1000000)/100</f>
        <v>17675.321773129977</v>
      </c>
      <c r="G5" s="18"/>
      <c r="H5" s="17"/>
      <c r="I5" s="17"/>
      <c r="J5" s="17">
        <f>('E Balans VL '!D25+'E Balans VL '!E25)/3.6*1000000*landbouw!B17/100</f>
        <v>1260.0114897146184</v>
      </c>
      <c r="K5" s="17"/>
      <c r="L5" s="17">
        <f>L6*(-1)</f>
        <v>0</v>
      </c>
      <c r="M5" s="17"/>
      <c r="N5" s="17">
        <f>N6*(-1)</f>
        <v>36385.71428571429</v>
      </c>
      <c r="O5" s="17"/>
      <c r="P5" s="17"/>
      <c r="R5" s="32"/>
    </row>
    <row r="6" spans="1:18">
      <c r="A6" s="16" t="s">
        <v>473</v>
      </c>
      <c r="B6" s="17" t="s">
        <v>204</v>
      </c>
      <c r="C6" s="17">
        <f>'lokale energieproductie'!O39+'lokale energieproductie'!O32</f>
        <v>18192.857142857145</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-36385.71428571429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4791.1065528715799</v>
      </c>
      <c r="C8" s="21">
        <f>C5+C6</f>
        <v>18192.857142857145</v>
      </c>
      <c r="D8" s="21">
        <f>MAX((D5+D6),0)</f>
        <v>726.6694794919963</v>
      </c>
      <c r="E8" s="21">
        <f>MAX((E5+E6),0)</f>
        <v>155.48715727484472</v>
      </c>
      <c r="F8" s="21">
        <f>MAX((F5+F6),0)</f>
        <v>17675.321773129977</v>
      </c>
      <c r="G8" s="21"/>
      <c r="H8" s="21"/>
      <c r="I8" s="21"/>
      <c r="J8" s="21">
        <f>MAX((J5+J6),0)</f>
        <v>1260.0114897146184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0.125833991101054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602.8840593382439</v>
      </c>
      <c r="C12" s="23">
        <f ca="1">C8*C10</f>
        <v>0</v>
      </c>
      <c r="D12" s="23">
        <f>D8*D10</f>
        <v>146.78723485738325</v>
      </c>
      <c r="E12" s="23">
        <f>E8*E10</f>
        <v>35.29558470138975</v>
      </c>
      <c r="F12" s="23">
        <f>F8*F10</f>
        <v>4719.3109134257038</v>
      </c>
      <c r="G12" s="23"/>
      <c r="H12" s="23"/>
      <c r="I12" s="23"/>
      <c r="J12" s="23">
        <f>J8*J10</f>
        <v>446.04406735897487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0.67987305149086874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596.30589713440509</v>
      </c>
      <c r="C26" s="242">
        <f>B26*'GWP N2O_CH4'!B5</f>
        <v>12522.423839822506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402.05988949674088</v>
      </c>
      <c r="C27" s="242">
        <f>B27*'GWP N2O_CH4'!B5</f>
        <v>8443.2576794315592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9.0825910292699419</v>
      </c>
      <c r="C28" s="242">
        <f>B28*'GWP N2O_CH4'!B4</f>
        <v>2815.6032190736819</v>
      </c>
      <c r="D28" s="50"/>
    </row>
    <row r="29" spans="1:4">
      <c r="A29" s="41" t="s">
        <v>265</v>
      </c>
      <c r="B29" s="242">
        <f>B34*'ha_N2O bodem landbouw'!B4</f>
        <v>26.496989280010151</v>
      </c>
      <c r="C29" s="242">
        <f>B29*'GWP N2O_CH4'!B4</f>
        <v>8214.066676803146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6.0465216410110229E-3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1.0679752902567398E-4</v>
      </c>
      <c r="C5" s="427" t="s">
        <v>204</v>
      </c>
      <c r="D5" s="412">
        <f>SUM(D6:D11)</f>
        <v>2.0420819071056374E-4</v>
      </c>
      <c r="E5" s="412">
        <f>SUM(E6:E11)</f>
        <v>3.4579807813289883E-4</v>
      </c>
      <c r="F5" s="425" t="s">
        <v>204</v>
      </c>
      <c r="G5" s="412">
        <f>SUM(G6:G11)</f>
        <v>0.13695739316202754</v>
      </c>
      <c r="H5" s="412">
        <f>SUM(H6:H11)</f>
        <v>3.4940625688954514E-2</v>
      </c>
      <c r="I5" s="427" t="s">
        <v>204</v>
      </c>
      <c r="J5" s="427" t="s">
        <v>204</v>
      </c>
      <c r="K5" s="427" t="s">
        <v>204</v>
      </c>
      <c r="L5" s="427" t="s">
        <v>204</v>
      </c>
      <c r="M5" s="412">
        <f>SUM(M6:M11)</f>
        <v>9.0304677765110936E-3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5.1942262806881622E-5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8.7764842869832721E-5</v>
      </c>
      <c r="E6" s="818">
        <f>vkm_GW_PW*SUMIFS(TableVerdeelsleutelVkm[LPG],TableVerdeelsleutelVkm[Voertuigtype],"Lichte voertuigen")*SUMIFS(TableECFTransport[EnergieConsumptieFactor (PJ per km)],TableECFTransport[Index],CONCATENATE($A6,"_LPG_LPG"))</f>
        <v>1.525616738233959E-4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4.6206884916146468E-2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1.5216774890512418E-2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3.1476531173330884E-3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6.9089211146874316E-7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2.2191620963386977E-2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4.4274317470938774E-7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1.2965598993392817E-3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5.3827092782283509E-5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1.1644334784073101E-4</v>
      </c>
      <c r="E8" s="415">
        <f>vkm_NGW_PW*SUMIFS(TableVerdeelsleutelVkm[LPG],TableVerdeelsleutelVkm[Voertuigtype],"Lichte voertuigen")*SUMIFS(TableECFTransport[EnergieConsumptieFactor (PJ per km)],TableECFTransport[Index],CONCATENATE($A8,"_LPG_LPG"))</f>
        <v>1.9323640430950293E-4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5.4658715934182735E-2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1.9723147169502613E-2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3.7741286850664956E-3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3.3728132504009076E-7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1.3900171348311372E-2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2.6088576477692508E-7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8.1212607477222794E-4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29.665980284909441</v>
      </c>
      <c r="C14" s="21"/>
      <c r="D14" s="21">
        <f t="shared" ref="D14:M14" si="0">((D5)*10^9/3600)+D12</f>
        <v>56.724497419601036</v>
      </c>
      <c r="E14" s="21">
        <f t="shared" si="0"/>
        <v>96.055021703583009</v>
      </c>
      <c r="F14" s="21"/>
      <c r="G14" s="21">
        <f t="shared" si="0"/>
        <v>38043.720322785426</v>
      </c>
      <c r="H14" s="21">
        <f t="shared" si="0"/>
        <v>9705.7293580429214</v>
      </c>
      <c r="I14" s="21"/>
      <c r="J14" s="21"/>
      <c r="K14" s="21"/>
      <c r="L14" s="21"/>
      <c r="M14" s="21">
        <f t="shared" si="0"/>
        <v>2508.4632712530815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0.125833991101054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3.7329886991753383</v>
      </c>
      <c r="C18" s="23"/>
      <c r="D18" s="23">
        <f t="shared" ref="D18:M18" si="1">D14*D16</f>
        <v>11.45834847875941</v>
      </c>
      <c r="E18" s="23">
        <f t="shared" si="1"/>
        <v>21.804489926713345</v>
      </c>
      <c r="F18" s="23"/>
      <c r="G18" s="23">
        <f t="shared" si="1"/>
        <v>10157.673326183709</v>
      </c>
      <c r="H18" s="23">
        <f t="shared" si="1"/>
        <v>2416.7266101526875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2.2851357336336368E-5</v>
      </c>
      <c r="C50" s="311">
        <f t="shared" ref="C50:P50" si="2">SUM(C51:C52)</f>
        <v>0</v>
      </c>
      <c r="D50" s="311">
        <f t="shared" si="2"/>
        <v>0</v>
      </c>
      <c r="E50" s="311">
        <f t="shared" si="2"/>
        <v>0</v>
      </c>
      <c r="F50" s="311">
        <f t="shared" si="2"/>
        <v>0</v>
      </c>
      <c r="G50" s="311">
        <f t="shared" si="2"/>
        <v>2.146658241237066E-3</v>
      </c>
      <c r="H50" s="311">
        <f t="shared" si="2"/>
        <v>0</v>
      </c>
      <c r="I50" s="311">
        <f t="shared" si="2"/>
        <v>0</v>
      </c>
      <c r="J50" s="311">
        <f t="shared" si="2"/>
        <v>0</v>
      </c>
      <c r="K50" s="311">
        <f t="shared" si="2"/>
        <v>0</v>
      </c>
      <c r="L50" s="311">
        <f t="shared" si="2"/>
        <v>0</v>
      </c>
      <c r="M50" s="311">
        <f t="shared" si="2"/>
        <v>1.2361960280465428E-4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2.2851357336336368E-5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2.146658241237066E-3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1.2361960280465428E-4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6.3475992600934354</v>
      </c>
      <c r="C54" s="21">
        <f t="shared" ref="C54:P54" si="3">(C50)*10^9/3600</f>
        <v>0</v>
      </c>
      <c r="D54" s="21">
        <f t="shared" si="3"/>
        <v>0</v>
      </c>
      <c r="E54" s="21">
        <f t="shared" si="3"/>
        <v>0</v>
      </c>
      <c r="F54" s="21">
        <f t="shared" si="3"/>
        <v>0</v>
      </c>
      <c r="G54" s="21">
        <f t="shared" si="3"/>
        <v>596.29395589918488</v>
      </c>
      <c r="H54" s="21">
        <f t="shared" si="3"/>
        <v>0</v>
      </c>
      <c r="I54" s="21">
        <f t="shared" si="3"/>
        <v>0</v>
      </c>
      <c r="J54" s="21">
        <f t="shared" si="3"/>
        <v>0</v>
      </c>
      <c r="K54" s="21">
        <f t="shared" si="3"/>
        <v>0</v>
      </c>
      <c r="L54" s="21">
        <f t="shared" si="3"/>
        <v>0</v>
      </c>
      <c r="M54" s="21">
        <f t="shared" si="3"/>
        <v>34.338778556848411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0.125833991101054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0.79874374880765431</v>
      </c>
      <c r="C58" s="23">
        <f t="shared" ref="C58:P58" ca="1" si="4">C54*C56</f>
        <v>0</v>
      </c>
      <c r="D58" s="23">
        <f t="shared" si="4"/>
        <v>0</v>
      </c>
      <c r="E58" s="23">
        <f t="shared" si="4"/>
        <v>0</v>
      </c>
      <c r="F58" s="23">
        <f t="shared" si="4"/>
        <v>0</v>
      </c>
      <c r="G58" s="23">
        <f t="shared" si="4"/>
        <v>159.21048622508238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6106.7190205962206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12735</v>
      </c>
      <c r="C8" s="534">
        <f>B48</f>
        <v>0</v>
      </c>
      <c r="D8" s="962"/>
      <c r="E8" s="962">
        <f>E48</f>
        <v>0</v>
      </c>
      <c r="F8" s="963"/>
      <c r="G8" s="535"/>
      <c r="H8" s="962">
        <f>I48</f>
        <v>0</v>
      </c>
      <c r="I8" s="962">
        <f>G48+F48</f>
        <v>0</v>
      </c>
      <c r="J8" s="962">
        <f>H48+D48+C48</f>
        <v>14982.352941176472</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18841.719020596222</v>
      </c>
      <c r="C10" s="547">
        <f t="shared" ref="C10:L10" si="0">SUM(C8:C9)</f>
        <v>0</v>
      </c>
      <c r="D10" s="547">
        <f t="shared" si="0"/>
        <v>0</v>
      </c>
      <c r="E10" s="547">
        <f t="shared" si="0"/>
        <v>0</v>
      </c>
      <c r="F10" s="547">
        <f t="shared" si="0"/>
        <v>0</v>
      </c>
      <c r="G10" s="547">
        <f t="shared" si="0"/>
        <v>0</v>
      </c>
      <c r="H10" s="547">
        <f t="shared" si="0"/>
        <v>0</v>
      </c>
      <c r="I10" s="547">
        <f t="shared" si="0"/>
        <v>0</v>
      </c>
      <c r="J10" s="547">
        <f t="shared" si="0"/>
        <v>14982.352941176472</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18192.857142857145</v>
      </c>
      <c r="C17" s="559">
        <f>B49</f>
        <v>0</v>
      </c>
      <c r="D17" s="560"/>
      <c r="E17" s="560">
        <f>E49</f>
        <v>0</v>
      </c>
      <c r="F17" s="968"/>
      <c r="G17" s="561"/>
      <c r="H17" s="559">
        <f>I49</f>
        <v>0</v>
      </c>
      <c r="I17" s="560">
        <f>G49+F49</f>
        <v>0</v>
      </c>
      <c r="J17" s="560">
        <f>H49+D49+C49</f>
        <v>21403.361344537818</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18192.857142857145</v>
      </c>
      <c r="C20" s="546">
        <f>SUM(C17:C19)</f>
        <v>0</v>
      </c>
      <c r="D20" s="546">
        <f t="shared" ref="D20:L20" si="1">SUM(D17:D19)</f>
        <v>0</v>
      </c>
      <c r="E20" s="546">
        <f t="shared" si="1"/>
        <v>0</v>
      </c>
      <c r="F20" s="546">
        <f t="shared" si="1"/>
        <v>0</v>
      </c>
      <c r="G20" s="546">
        <f t="shared" si="1"/>
        <v>0</v>
      </c>
      <c r="H20" s="546">
        <f t="shared" si="1"/>
        <v>0</v>
      </c>
      <c r="I20" s="546">
        <f t="shared" si="1"/>
        <v>0</v>
      </c>
      <c r="J20" s="546">
        <f t="shared" si="1"/>
        <v>21403.361344537818</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32006</v>
      </c>
      <c r="C28" s="724">
        <v>8650</v>
      </c>
      <c r="D28" s="617"/>
      <c r="E28" s="616"/>
      <c r="F28" s="616"/>
      <c r="G28" s="616" t="s">
        <v>878</v>
      </c>
      <c r="H28" s="616" t="s">
        <v>879</v>
      </c>
      <c r="I28" s="616"/>
      <c r="J28" s="723"/>
      <c r="K28" s="723"/>
      <c r="L28" s="616" t="s">
        <v>880</v>
      </c>
      <c r="M28" s="616">
        <v>2830</v>
      </c>
      <c r="N28" s="616">
        <v>12735</v>
      </c>
      <c r="O28" s="616">
        <v>18192.857142857145</v>
      </c>
      <c r="P28" s="616">
        <v>0</v>
      </c>
      <c r="Q28" s="616">
        <v>36385.71428571429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2830</v>
      </c>
      <c r="N29" s="574">
        <f>SUM(N28:N28)</f>
        <v>12735</v>
      </c>
      <c r="O29" s="574">
        <f>SUM(O28:O28)</f>
        <v>18192.857142857145</v>
      </c>
      <c r="P29" s="574">
        <f>SUM(P28:P28)</f>
        <v>0</v>
      </c>
      <c r="Q29" s="574">
        <f>SUM(Q28:Q28)</f>
        <v>36385.71428571429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2830</v>
      </c>
      <c r="N32" s="579">
        <f>SUMIF($AA$28:$AA$28,"landbouw",N28:N28)</f>
        <v>12735</v>
      </c>
      <c r="O32" s="579">
        <f>SUMIF($AA$28:$AA$28,"landbouw",O28:O28)</f>
        <v>18192.857142857145</v>
      </c>
      <c r="P32" s="579">
        <f>SUMIF($AA$28:$AA$28,"landbouw",P28:P28)</f>
        <v>0</v>
      </c>
      <c r="Q32" s="579">
        <f>SUMIF($AA$28:$AA$28,"landbouw",Q28:Q28)</f>
        <v>36385.71428571429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14982.352941176472</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21403.361344537818</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17333.212582094595</v>
      </c>
      <c r="D10" s="931">
        <f ca="1">tertiair!C16</f>
        <v>0</v>
      </c>
      <c r="E10" s="931">
        <f ca="1">tertiair!D16</f>
        <v>8297.0620038465167</v>
      </c>
      <c r="F10" s="931">
        <f>tertiair!E16</f>
        <v>236.93685618273014</v>
      </c>
      <c r="G10" s="931">
        <f ca="1">tertiair!F16</f>
        <v>7068.306838398772</v>
      </c>
      <c r="H10" s="931">
        <f>tertiair!G16</f>
        <v>0</v>
      </c>
      <c r="I10" s="931">
        <f>tertiair!H16</f>
        <v>0</v>
      </c>
      <c r="J10" s="931">
        <f>tertiair!I16</f>
        <v>0</v>
      </c>
      <c r="K10" s="931">
        <f>tertiair!J16</f>
        <v>0.11643446868849873</v>
      </c>
      <c r="L10" s="931">
        <f>tertiair!K16</f>
        <v>0</v>
      </c>
      <c r="M10" s="931">
        <f ca="1">tertiair!L16</f>
        <v>0</v>
      </c>
      <c r="N10" s="931">
        <f>tertiair!M16</f>
        <v>0</v>
      </c>
      <c r="O10" s="931">
        <f ca="1">tertiair!N16</f>
        <v>4524.7479384637154</v>
      </c>
      <c r="P10" s="931">
        <f>tertiair!O16</f>
        <v>1.5633333333333335</v>
      </c>
      <c r="Q10" s="932">
        <f>tertiair!P16</f>
        <v>38.133333333333333</v>
      </c>
      <c r="R10" s="628">
        <f ca="1">SUM(C10:Q10)</f>
        <v>37500.07932012168</v>
      </c>
      <c r="S10" s="67"/>
    </row>
    <row r="11" spans="1:19" s="437" customFormat="1">
      <c r="A11" s="736" t="s">
        <v>213</v>
      </c>
      <c r="B11" s="741"/>
      <c r="C11" s="931">
        <f>huishoudens!B8</f>
        <v>16832.907053626976</v>
      </c>
      <c r="D11" s="931">
        <f>huishoudens!C8</f>
        <v>0</v>
      </c>
      <c r="E11" s="931">
        <f>huishoudens!D8</f>
        <v>21599.629101092196</v>
      </c>
      <c r="F11" s="931">
        <f>huishoudens!E8</f>
        <v>1442.6506990627893</v>
      </c>
      <c r="G11" s="931">
        <f>huishoudens!F8</f>
        <v>33439.520798659585</v>
      </c>
      <c r="H11" s="931">
        <f>huishoudens!G8</f>
        <v>0</v>
      </c>
      <c r="I11" s="931">
        <f>huishoudens!H8</f>
        <v>0</v>
      </c>
      <c r="J11" s="931">
        <f>huishoudens!I8</f>
        <v>0</v>
      </c>
      <c r="K11" s="931">
        <f>huishoudens!J8</f>
        <v>171.84968139353853</v>
      </c>
      <c r="L11" s="931">
        <f>huishoudens!K8</f>
        <v>0</v>
      </c>
      <c r="M11" s="931">
        <f>huishoudens!L8</f>
        <v>0</v>
      </c>
      <c r="N11" s="931">
        <f>huishoudens!M8</f>
        <v>0</v>
      </c>
      <c r="O11" s="931">
        <f>huishoudens!N8</f>
        <v>6543.4867334314295</v>
      </c>
      <c r="P11" s="931">
        <f>huishoudens!O8</f>
        <v>248.57000000000002</v>
      </c>
      <c r="Q11" s="932">
        <f>huishoudens!P8</f>
        <v>438.5333333333333</v>
      </c>
      <c r="R11" s="628">
        <f>SUM(C11:Q11)</f>
        <v>80717.147400599861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4277.0125067350427</v>
      </c>
      <c r="D13" s="931">
        <f>industrie!C18</f>
        <v>0</v>
      </c>
      <c r="E13" s="931">
        <f>industrie!D18</f>
        <v>967.90038636503766</v>
      </c>
      <c r="F13" s="931">
        <f>industrie!E18</f>
        <v>70.568467516637043</v>
      </c>
      <c r="G13" s="931">
        <f>industrie!F18</f>
        <v>2182.0641121985354</v>
      </c>
      <c r="H13" s="931">
        <f>industrie!G18</f>
        <v>0</v>
      </c>
      <c r="I13" s="931">
        <f>industrie!H18</f>
        <v>0</v>
      </c>
      <c r="J13" s="931">
        <f>industrie!I18</f>
        <v>0</v>
      </c>
      <c r="K13" s="931">
        <f>industrie!J18</f>
        <v>3.3714262621851603</v>
      </c>
      <c r="L13" s="931">
        <f>industrie!K18</f>
        <v>0</v>
      </c>
      <c r="M13" s="931">
        <f>industrie!L18</f>
        <v>0</v>
      </c>
      <c r="N13" s="931">
        <f>industrie!M18</f>
        <v>0</v>
      </c>
      <c r="O13" s="931">
        <f>industrie!N18</f>
        <v>171.86421084579715</v>
      </c>
      <c r="P13" s="931">
        <f>industrie!O18</f>
        <v>0</v>
      </c>
      <c r="Q13" s="932">
        <f>industrie!P18</f>
        <v>0</v>
      </c>
      <c r="R13" s="628">
        <f>SUM(C13:Q13)</f>
        <v>7672.7811099232349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38443.132142456612</v>
      </c>
      <c r="D16" s="660">
        <f t="shared" ref="D16:R16" ca="1" si="0">SUM(D9:D15)</f>
        <v>0</v>
      </c>
      <c r="E16" s="660">
        <f t="shared" ca="1" si="0"/>
        <v>30864.591491303749</v>
      </c>
      <c r="F16" s="660">
        <f t="shared" si="0"/>
        <v>1750.1560227621567</v>
      </c>
      <c r="G16" s="660">
        <f t="shared" ca="1" si="0"/>
        <v>42689.891749256887</v>
      </c>
      <c r="H16" s="660">
        <f t="shared" si="0"/>
        <v>0</v>
      </c>
      <c r="I16" s="660">
        <f t="shared" si="0"/>
        <v>0</v>
      </c>
      <c r="J16" s="660">
        <f t="shared" si="0"/>
        <v>0</v>
      </c>
      <c r="K16" s="660">
        <f t="shared" si="0"/>
        <v>175.33754212441221</v>
      </c>
      <c r="L16" s="660">
        <f t="shared" si="0"/>
        <v>0</v>
      </c>
      <c r="M16" s="660">
        <f t="shared" ca="1" si="0"/>
        <v>0</v>
      </c>
      <c r="N16" s="660">
        <f t="shared" si="0"/>
        <v>0</v>
      </c>
      <c r="O16" s="660">
        <f t="shared" ca="1" si="0"/>
        <v>11240.098882740942</v>
      </c>
      <c r="P16" s="660">
        <f t="shared" si="0"/>
        <v>250.13333333333335</v>
      </c>
      <c r="Q16" s="660">
        <f t="shared" si="0"/>
        <v>476.66666666666663</v>
      </c>
      <c r="R16" s="660">
        <f t="shared" ca="1" si="0"/>
        <v>125890.00783064478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6.3475992600934354</v>
      </c>
      <c r="D19" s="931">
        <f>transport!C54</f>
        <v>0</v>
      </c>
      <c r="E19" s="931">
        <f>transport!D54</f>
        <v>0</v>
      </c>
      <c r="F19" s="931">
        <f>transport!E54</f>
        <v>0</v>
      </c>
      <c r="G19" s="931">
        <f>transport!F54</f>
        <v>0</v>
      </c>
      <c r="H19" s="931">
        <f>transport!G54</f>
        <v>596.29395589918488</v>
      </c>
      <c r="I19" s="931">
        <f>transport!H54</f>
        <v>0</v>
      </c>
      <c r="J19" s="931">
        <f>transport!I54</f>
        <v>0</v>
      </c>
      <c r="K19" s="931">
        <f>transport!J54</f>
        <v>0</v>
      </c>
      <c r="L19" s="931">
        <f>transport!K54</f>
        <v>0</v>
      </c>
      <c r="M19" s="931">
        <f>transport!L54</f>
        <v>0</v>
      </c>
      <c r="N19" s="931">
        <f>transport!M54</f>
        <v>34.338778556848411</v>
      </c>
      <c r="O19" s="931">
        <f>transport!N54</f>
        <v>0</v>
      </c>
      <c r="P19" s="931">
        <f>transport!O54</f>
        <v>0</v>
      </c>
      <c r="Q19" s="932">
        <f>transport!P54</f>
        <v>0</v>
      </c>
      <c r="R19" s="628">
        <f>SUM(C19:Q19)</f>
        <v>636.98033371612678</v>
      </c>
      <c r="S19" s="67"/>
    </row>
    <row r="20" spans="1:19" s="437" customFormat="1">
      <c r="A20" s="736" t="s">
        <v>295</v>
      </c>
      <c r="B20" s="741"/>
      <c r="C20" s="931">
        <f>transport!B14</f>
        <v>29.665980284909441</v>
      </c>
      <c r="D20" s="931">
        <f>transport!C14</f>
        <v>0</v>
      </c>
      <c r="E20" s="931">
        <f>transport!D14</f>
        <v>56.724497419601036</v>
      </c>
      <c r="F20" s="931">
        <f>transport!E14</f>
        <v>96.055021703583009</v>
      </c>
      <c r="G20" s="931">
        <f>transport!F14</f>
        <v>0</v>
      </c>
      <c r="H20" s="931">
        <f>transport!G14</f>
        <v>38043.720322785426</v>
      </c>
      <c r="I20" s="931">
        <f>transport!H14</f>
        <v>9705.7293580429214</v>
      </c>
      <c r="J20" s="931">
        <f>transport!I14</f>
        <v>0</v>
      </c>
      <c r="K20" s="931">
        <f>transport!J14</f>
        <v>0</v>
      </c>
      <c r="L20" s="931">
        <f>transport!K14</f>
        <v>0</v>
      </c>
      <c r="M20" s="931">
        <f>transport!L14</f>
        <v>0</v>
      </c>
      <c r="N20" s="931">
        <f>transport!M14</f>
        <v>2508.4632712530815</v>
      </c>
      <c r="O20" s="931">
        <f>transport!N14</f>
        <v>0</v>
      </c>
      <c r="P20" s="931">
        <f>transport!O14</f>
        <v>0</v>
      </c>
      <c r="Q20" s="932">
        <f>transport!P14</f>
        <v>0</v>
      </c>
      <c r="R20" s="628">
        <f>SUM(C20:Q20)</f>
        <v>50440.358451489526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36.013579545002877</v>
      </c>
      <c r="D22" s="739">
        <f t="shared" ref="D22:R22" si="1">SUM(D18:D21)</f>
        <v>0</v>
      </c>
      <c r="E22" s="739">
        <f t="shared" si="1"/>
        <v>56.724497419601036</v>
      </c>
      <c r="F22" s="739">
        <f t="shared" si="1"/>
        <v>96.055021703583009</v>
      </c>
      <c r="G22" s="739">
        <f t="shared" si="1"/>
        <v>0</v>
      </c>
      <c r="H22" s="739">
        <f t="shared" si="1"/>
        <v>38640.014278684612</v>
      </c>
      <c r="I22" s="739">
        <f t="shared" si="1"/>
        <v>9705.7293580429214</v>
      </c>
      <c r="J22" s="739">
        <f t="shared" si="1"/>
        <v>0</v>
      </c>
      <c r="K22" s="739">
        <f t="shared" si="1"/>
        <v>0</v>
      </c>
      <c r="L22" s="739">
        <f t="shared" si="1"/>
        <v>0</v>
      </c>
      <c r="M22" s="739">
        <f t="shared" si="1"/>
        <v>0</v>
      </c>
      <c r="N22" s="739">
        <f t="shared" si="1"/>
        <v>2542.8020498099299</v>
      </c>
      <c r="O22" s="739">
        <f t="shared" si="1"/>
        <v>0</v>
      </c>
      <c r="P22" s="739">
        <f t="shared" si="1"/>
        <v>0</v>
      </c>
      <c r="Q22" s="739">
        <f t="shared" si="1"/>
        <v>0</v>
      </c>
      <c r="R22" s="739">
        <f t="shared" si="1"/>
        <v>51077.338785205655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4791.1065528715799</v>
      </c>
      <c r="D24" s="931">
        <f>+landbouw!C8</f>
        <v>18192.857142857145</v>
      </c>
      <c r="E24" s="931">
        <f>+landbouw!D8</f>
        <v>726.6694794919963</v>
      </c>
      <c r="F24" s="931">
        <f>+landbouw!E8</f>
        <v>155.48715727484472</v>
      </c>
      <c r="G24" s="931">
        <f>+landbouw!F8</f>
        <v>17675.321773129977</v>
      </c>
      <c r="H24" s="931">
        <f>+landbouw!G8</f>
        <v>0</v>
      </c>
      <c r="I24" s="931">
        <f>+landbouw!H8</f>
        <v>0</v>
      </c>
      <c r="J24" s="931">
        <f>+landbouw!I8</f>
        <v>0</v>
      </c>
      <c r="K24" s="931">
        <f>+landbouw!J8</f>
        <v>1260.0114897146184</v>
      </c>
      <c r="L24" s="931">
        <f>+landbouw!K8</f>
        <v>0</v>
      </c>
      <c r="M24" s="931">
        <f>+landbouw!L8</f>
        <v>0</v>
      </c>
      <c r="N24" s="931">
        <f>+landbouw!M8</f>
        <v>0</v>
      </c>
      <c r="O24" s="931">
        <f>+landbouw!N8</f>
        <v>0</v>
      </c>
      <c r="P24" s="931">
        <f>+landbouw!O8</f>
        <v>0</v>
      </c>
      <c r="Q24" s="932">
        <f>+landbouw!P8</f>
        <v>0</v>
      </c>
      <c r="R24" s="628">
        <f>SUM(C24:Q24)</f>
        <v>42801.453595340165</v>
      </c>
      <c r="S24" s="67"/>
    </row>
    <row r="25" spans="1:19" s="437" customFormat="1" ht="15" thickBot="1">
      <c r="A25" s="758" t="s">
        <v>775</v>
      </c>
      <c r="B25" s="934"/>
      <c r="C25" s="935">
        <f>IF(Onbekend_ele_kWh="---",0,Onbekend_ele_kWh)/1000+IF(REST_rest_ele_kWh="---",0,REST_rest_ele_kWh)/1000</f>
        <v>485.07540702440002</v>
      </c>
      <c r="D25" s="935"/>
      <c r="E25" s="935">
        <f>IF(onbekend_gas_kWh="---",0,onbekend_gas_kWh)/1000+IF(REST_rest_gas_kWh="---",0,REST_rest_gas_kWh)/1000</f>
        <v>830.27679071698003</v>
      </c>
      <c r="F25" s="935"/>
      <c r="G25" s="935"/>
      <c r="H25" s="935"/>
      <c r="I25" s="935"/>
      <c r="J25" s="935"/>
      <c r="K25" s="935"/>
      <c r="L25" s="935"/>
      <c r="M25" s="935"/>
      <c r="N25" s="935"/>
      <c r="O25" s="935"/>
      <c r="P25" s="935"/>
      <c r="Q25" s="936"/>
      <c r="R25" s="628">
        <f>SUM(C25:Q25)</f>
        <v>1315.35219774138</v>
      </c>
      <c r="S25" s="67"/>
    </row>
    <row r="26" spans="1:19" s="437" customFormat="1" ht="15.75" thickBot="1">
      <c r="A26" s="633" t="s">
        <v>776</v>
      </c>
      <c r="B26" s="744"/>
      <c r="C26" s="739">
        <f>SUM(C24:C25)</f>
        <v>5276.1819598959801</v>
      </c>
      <c r="D26" s="739">
        <f t="shared" ref="D26:R26" si="2">SUM(D24:D25)</f>
        <v>18192.857142857145</v>
      </c>
      <c r="E26" s="739">
        <f t="shared" si="2"/>
        <v>1556.9462702089763</v>
      </c>
      <c r="F26" s="739">
        <f t="shared" si="2"/>
        <v>155.48715727484472</v>
      </c>
      <c r="G26" s="739">
        <f t="shared" si="2"/>
        <v>17675.321773129977</v>
      </c>
      <c r="H26" s="739">
        <f t="shared" si="2"/>
        <v>0</v>
      </c>
      <c r="I26" s="739">
        <f t="shared" si="2"/>
        <v>0</v>
      </c>
      <c r="J26" s="739">
        <f t="shared" si="2"/>
        <v>0</v>
      </c>
      <c r="K26" s="739">
        <f t="shared" si="2"/>
        <v>1260.0114897146184</v>
      </c>
      <c r="L26" s="739">
        <f t="shared" si="2"/>
        <v>0</v>
      </c>
      <c r="M26" s="739">
        <f t="shared" si="2"/>
        <v>0</v>
      </c>
      <c r="N26" s="739">
        <f t="shared" si="2"/>
        <v>0</v>
      </c>
      <c r="O26" s="739">
        <f t="shared" si="2"/>
        <v>0</v>
      </c>
      <c r="P26" s="739">
        <f t="shared" si="2"/>
        <v>0</v>
      </c>
      <c r="Q26" s="739">
        <f t="shared" si="2"/>
        <v>0</v>
      </c>
      <c r="R26" s="739">
        <f t="shared" si="2"/>
        <v>44116.805793081541</v>
      </c>
      <c r="S26" s="67"/>
    </row>
    <row r="27" spans="1:19" s="437" customFormat="1" ht="17.25" thickTop="1" thickBot="1">
      <c r="A27" s="634" t="s">
        <v>109</v>
      </c>
      <c r="B27" s="732"/>
      <c r="C27" s="635">
        <f ca="1">C22+C16+C26</f>
        <v>43755.327681897594</v>
      </c>
      <c r="D27" s="635">
        <f t="shared" ref="D27:R27" ca="1" si="3">D22+D16+D26</f>
        <v>18192.857142857145</v>
      </c>
      <c r="E27" s="635">
        <f t="shared" ca="1" si="3"/>
        <v>32478.262258932325</v>
      </c>
      <c r="F27" s="635">
        <f t="shared" si="3"/>
        <v>2001.6982017405844</v>
      </c>
      <c r="G27" s="635">
        <f t="shared" ca="1" si="3"/>
        <v>60365.213522386868</v>
      </c>
      <c r="H27" s="635">
        <f t="shared" si="3"/>
        <v>38640.014278684612</v>
      </c>
      <c r="I27" s="635">
        <f t="shared" si="3"/>
        <v>9705.7293580429214</v>
      </c>
      <c r="J27" s="635">
        <f t="shared" si="3"/>
        <v>0</v>
      </c>
      <c r="K27" s="635">
        <f t="shared" si="3"/>
        <v>1435.3490318390307</v>
      </c>
      <c r="L27" s="635">
        <f t="shared" si="3"/>
        <v>0</v>
      </c>
      <c r="M27" s="635">
        <f t="shared" ca="1" si="3"/>
        <v>0</v>
      </c>
      <c r="N27" s="635">
        <f t="shared" si="3"/>
        <v>2542.8020498099299</v>
      </c>
      <c r="O27" s="635">
        <f t="shared" ca="1" si="3"/>
        <v>11240.098882740942</v>
      </c>
      <c r="P27" s="635">
        <f t="shared" si="3"/>
        <v>250.13333333333335</v>
      </c>
      <c r="Q27" s="635">
        <f t="shared" si="3"/>
        <v>476.66666666666663</v>
      </c>
      <c r="R27" s="635">
        <f t="shared" ca="1" si="3"/>
        <v>221084.15240893199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2181.1073178079687</v>
      </c>
      <c r="D40" s="931">
        <f ca="1">tertiair!C20</f>
        <v>0</v>
      </c>
      <c r="E40" s="931">
        <f ca="1">tertiair!D20</f>
        <v>1676.0065247769965</v>
      </c>
      <c r="F40" s="931">
        <f>tertiair!E20</f>
        <v>53.784666353479743</v>
      </c>
      <c r="G40" s="931">
        <f ca="1">tertiair!F20</f>
        <v>1887.2379258524722</v>
      </c>
      <c r="H40" s="931">
        <f>tertiair!G20</f>
        <v>0</v>
      </c>
      <c r="I40" s="931">
        <f>tertiair!H20</f>
        <v>0</v>
      </c>
      <c r="J40" s="931">
        <f>tertiair!I20</f>
        <v>0</v>
      </c>
      <c r="K40" s="931">
        <f>tertiair!J20</f>
        <v>4.1217801915728547E-2</v>
      </c>
      <c r="L40" s="931">
        <f>tertiair!K20</f>
        <v>0</v>
      </c>
      <c r="M40" s="931">
        <f ca="1">tertiair!L20</f>
        <v>0</v>
      </c>
      <c r="N40" s="931">
        <f>tertiair!M20</f>
        <v>0</v>
      </c>
      <c r="O40" s="931">
        <f ca="1">tertiair!N20</f>
        <v>0</v>
      </c>
      <c r="P40" s="931">
        <f>tertiair!O20</f>
        <v>0</v>
      </c>
      <c r="Q40" s="702">
        <f>tertiair!P20</f>
        <v>0</v>
      </c>
      <c r="R40" s="777">
        <f t="shared" ca="1" si="4"/>
        <v>5798.1776525928326</v>
      </c>
    </row>
    <row r="41" spans="1:18">
      <c r="A41" s="749" t="s">
        <v>213</v>
      </c>
      <c r="B41" s="756"/>
      <c r="C41" s="931">
        <f ca="1">huishoudens!B12</f>
        <v>2118.1518763909662</v>
      </c>
      <c r="D41" s="931">
        <f ca="1">huishoudens!C12</f>
        <v>0</v>
      </c>
      <c r="E41" s="931">
        <f>huishoudens!D12</f>
        <v>4363.125078420624</v>
      </c>
      <c r="F41" s="931">
        <f>huishoudens!E12</f>
        <v>327.48170868725316</v>
      </c>
      <c r="G41" s="931">
        <f>huishoudens!F12</f>
        <v>8928.3520532421098</v>
      </c>
      <c r="H41" s="931">
        <f>huishoudens!G12</f>
        <v>0</v>
      </c>
      <c r="I41" s="931">
        <f>huishoudens!H12</f>
        <v>0</v>
      </c>
      <c r="J41" s="931">
        <f>huishoudens!I12</f>
        <v>0</v>
      </c>
      <c r="K41" s="931">
        <f>huishoudens!J12</f>
        <v>60.834787213312637</v>
      </c>
      <c r="L41" s="931">
        <f>huishoudens!K12</f>
        <v>0</v>
      </c>
      <c r="M41" s="931">
        <f>huishoudens!L12</f>
        <v>0</v>
      </c>
      <c r="N41" s="931">
        <f>huishoudens!M12</f>
        <v>0</v>
      </c>
      <c r="O41" s="931">
        <f>huishoudens!N12</f>
        <v>0</v>
      </c>
      <c r="P41" s="931">
        <f>huishoudens!O12</f>
        <v>0</v>
      </c>
      <c r="Q41" s="702">
        <f>huishoudens!P12</f>
        <v>0</v>
      </c>
      <c r="R41" s="777">
        <f t="shared" ca="1" si="4"/>
        <v>15797.945503954266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538.19355371159406</v>
      </c>
      <c r="D43" s="931">
        <f ca="1">industrie!C22</f>
        <v>0</v>
      </c>
      <c r="E43" s="931">
        <f>industrie!D22</f>
        <v>195.51587804573762</v>
      </c>
      <c r="F43" s="931">
        <f>industrie!E22</f>
        <v>16.019042126276609</v>
      </c>
      <c r="G43" s="931">
        <f>industrie!F22</f>
        <v>582.61111795700901</v>
      </c>
      <c r="H43" s="931">
        <f>industrie!G22</f>
        <v>0</v>
      </c>
      <c r="I43" s="931">
        <f>industrie!H22</f>
        <v>0</v>
      </c>
      <c r="J43" s="931">
        <f>industrie!I22</f>
        <v>0</v>
      </c>
      <c r="K43" s="931">
        <f>industrie!J22</f>
        <v>1.1934848968135467</v>
      </c>
      <c r="L43" s="931">
        <f>industrie!K22</f>
        <v>0</v>
      </c>
      <c r="M43" s="931">
        <f>industrie!L22</f>
        <v>0</v>
      </c>
      <c r="N43" s="931">
        <f>industrie!M22</f>
        <v>0</v>
      </c>
      <c r="O43" s="931">
        <f>industrie!N22</f>
        <v>0</v>
      </c>
      <c r="P43" s="931">
        <f>industrie!O22</f>
        <v>0</v>
      </c>
      <c r="Q43" s="702">
        <f>industrie!P22</f>
        <v>0</v>
      </c>
      <c r="R43" s="776">
        <f t="shared" ca="1" si="4"/>
        <v>1333.5330767374307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4837.4527479105291</v>
      </c>
      <c r="D46" s="660">
        <f t="shared" ref="D46:Q46" ca="1" si="5">SUM(D39:D45)</f>
        <v>0</v>
      </c>
      <c r="E46" s="660">
        <f t="shared" ca="1" si="5"/>
        <v>6234.647481243358</v>
      </c>
      <c r="F46" s="660">
        <f t="shared" si="5"/>
        <v>397.28541716700948</v>
      </c>
      <c r="G46" s="660">
        <f t="shared" ca="1" si="5"/>
        <v>11398.201097051591</v>
      </c>
      <c r="H46" s="660">
        <f t="shared" si="5"/>
        <v>0</v>
      </c>
      <c r="I46" s="660">
        <f t="shared" si="5"/>
        <v>0</v>
      </c>
      <c r="J46" s="660">
        <f t="shared" si="5"/>
        <v>0</v>
      </c>
      <c r="K46" s="660">
        <f t="shared" si="5"/>
        <v>62.069489912041909</v>
      </c>
      <c r="L46" s="660">
        <f t="shared" si="5"/>
        <v>0</v>
      </c>
      <c r="M46" s="660">
        <f t="shared" ca="1" si="5"/>
        <v>0</v>
      </c>
      <c r="N46" s="660">
        <f t="shared" si="5"/>
        <v>0</v>
      </c>
      <c r="O46" s="660">
        <f t="shared" ca="1" si="5"/>
        <v>0</v>
      </c>
      <c r="P46" s="660">
        <f t="shared" si="5"/>
        <v>0</v>
      </c>
      <c r="Q46" s="660">
        <f t="shared" si="5"/>
        <v>0</v>
      </c>
      <c r="R46" s="660">
        <f ca="1">SUM(R39:R45)</f>
        <v>22929.656233284528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0.79874374880765431</v>
      </c>
      <c r="D49" s="931">
        <f ca="1">transport!C58</f>
        <v>0</v>
      </c>
      <c r="E49" s="931">
        <f>transport!D58</f>
        <v>0</v>
      </c>
      <c r="F49" s="931">
        <f>transport!E58</f>
        <v>0</v>
      </c>
      <c r="G49" s="931">
        <f>transport!F58</f>
        <v>0</v>
      </c>
      <c r="H49" s="931">
        <f>transport!G58</f>
        <v>159.21048622508238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160.00922997389003</v>
      </c>
    </row>
    <row r="50" spans="1:18">
      <c r="A50" s="752" t="s">
        <v>295</v>
      </c>
      <c r="B50" s="762"/>
      <c r="C50" s="631">
        <f ca="1">transport!B18</f>
        <v>3.7329886991753383</v>
      </c>
      <c r="D50" s="631">
        <f>transport!C18</f>
        <v>0</v>
      </c>
      <c r="E50" s="631">
        <f>transport!D18</f>
        <v>11.45834847875941</v>
      </c>
      <c r="F50" s="631">
        <f>transport!E18</f>
        <v>21.804489926713345</v>
      </c>
      <c r="G50" s="631">
        <f>transport!F18</f>
        <v>0</v>
      </c>
      <c r="H50" s="631">
        <f>transport!G18</f>
        <v>10157.673326183709</v>
      </c>
      <c r="I50" s="631">
        <f>transport!H18</f>
        <v>2416.7266101526875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12611.395763441045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4.5317324479829928</v>
      </c>
      <c r="D52" s="660">
        <f t="shared" ref="D52:Q52" ca="1" si="6">SUM(D48:D51)</f>
        <v>0</v>
      </c>
      <c r="E52" s="660">
        <f t="shared" si="6"/>
        <v>11.45834847875941</v>
      </c>
      <c r="F52" s="660">
        <f t="shared" si="6"/>
        <v>21.804489926713345</v>
      </c>
      <c r="G52" s="660">
        <f t="shared" si="6"/>
        <v>0</v>
      </c>
      <c r="H52" s="660">
        <f t="shared" si="6"/>
        <v>10316.883812408791</v>
      </c>
      <c r="I52" s="660">
        <f t="shared" si="6"/>
        <v>2416.7266101526875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12771.404993414935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602.8840593382439</v>
      </c>
      <c r="D54" s="631">
        <f ca="1">+landbouw!C12</f>
        <v>0</v>
      </c>
      <c r="E54" s="631">
        <f>+landbouw!D12</f>
        <v>146.78723485738325</v>
      </c>
      <c r="F54" s="631">
        <f>+landbouw!E12</f>
        <v>35.29558470138975</v>
      </c>
      <c r="G54" s="631">
        <f>+landbouw!F12</f>
        <v>4719.3109134257038</v>
      </c>
      <c r="H54" s="631">
        <f>+landbouw!G12</f>
        <v>0</v>
      </c>
      <c r="I54" s="631">
        <f>+landbouw!H12</f>
        <v>0</v>
      </c>
      <c r="J54" s="631">
        <f>+landbouw!I12</f>
        <v>0</v>
      </c>
      <c r="K54" s="631">
        <f>+landbouw!J12</f>
        <v>446.04406735897487</v>
      </c>
      <c r="L54" s="631">
        <f>+landbouw!K12</f>
        <v>0</v>
      </c>
      <c r="M54" s="631">
        <f>+landbouw!L12</f>
        <v>0</v>
      </c>
      <c r="N54" s="631">
        <f>+landbouw!M12</f>
        <v>0</v>
      </c>
      <c r="O54" s="631">
        <f>+landbouw!N12</f>
        <v>0</v>
      </c>
      <c r="P54" s="631">
        <f>+landbouw!O12</f>
        <v>0</v>
      </c>
      <c r="Q54" s="632">
        <f>+landbouw!P12</f>
        <v>0</v>
      </c>
      <c r="R54" s="659">
        <f ca="1">SUM(C54:Q54)</f>
        <v>5950.3218596816951</v>
      </c>
    </row>
    <row r="55" spans="1:18" ht="15" thickBot="1">
      <c r="A55" s="752" t="s">
        <v>775</v>
      </c>
      <c r="B55" s="762"/>
      <c r="C55" s="631">
        <f ca="1">C25*'EF ele_warmte'!B12</f>
        <v>61.038974450848499</v>
      </c>
      <c r="D55" s="631"/>
      <c r="E55" s="631">
        <f>E25*EF_CO2_aardgas</f>
        <v>167.71591172482997</v>
      </c>
      <c r="F55" s="631"/>
      <c r="G55" s="631"/>
      <c r="H55" s="631"/>
      <c r="I55" s="631"/>
      <c r="J55" s="631"/>
      <c r="K55" s="631"/>
      <c r="L55" s="631"/>
      <c r="M55" s="631"/>
      <c r="N55" s="631"/>
      <c r="O55" s="631"/>
      <c r="P55" s="631"/>
      <c r="Q55" s="632"/>
      <c r="R55" s="659">
        <f ca="1">SUM(C55:Q55)</f>
        <v>228.75488617567845</v>
      </c>
    </row>
    <row r="56" spans="1:18" ht="15.75" thickBot="1">
      <c r="A56" s="750" t="s">
        <v>776</v>
      </c>
      <c r="B56" s="763"/>
      <c r="C56" s="660">
        <f ca="1">SUM(C54:C55)</f>
        <v>663.92303378909241</v>
      </c>
      <c r="D56" s="660">
        <f t="shared" ref="D56:Q56" ca="1" si="7">SUM(D54:D55)</f>
        <v>0</v>
      </c>
      <c r="E56" s="660">
        <f t="shared" si="7"/>
        <v>314.50314658221322</v>
      </c>
      <c r="F56" s="660">
        <f t="shared" si="7"/>
        <v>35.29558470138975</v>
      </c>
      <c r="G56" s="660">
        <f t="shared" si="7"/>
        <v>4719.3109134257038</v>
      </c>
      <c r="H56" s="660">
        <f t="shared" si="7"/>
        <v>0</v>
      </c>
      <c r="I56" s="660">
        <f t="shared" si="7"/>
        <v>0</v>
      </c>
      <c r="J56" s="660">
        <f t="shared" si="7"/>
        <v>0</v>
      </c>
      <c r="K56" s="660">
        <f t="shared" si="7"/>
        <v>446.04406735897487</v>
      </c>
      <c r="L56" s="660">
        <f t="shared" si="7"/>
        <v>0</v>
      </c>
      <c r="M56" s="660">
        <f t="shared" si="7"/>
        <v>0</v>
      </c>
      <c r="N56" s="660">
        <f t="shared" si="7"/>
        <v>0</v>
      </c>
      <c r="O56" s="660">
        <f t="shared" si="7"/>
        <v>0</v>
      </c>
      <c r="P56" s="660">
        <f t="shared" si="7"/>
        <v>0</v>
      </c>
      <c r="Q56" s="661">
        <f t="shared" si="7"/>
        <v>0</v>
      </c>
      <c r="R56" s="662">
        <f ca="1">SUM(R54:R55)</f>
        <v>6179.0767458573737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5505.9075141476042</v>
      </c>
      <c r="D61" s="668">
        <f t="shared" ref="D61:Q61" ca="1" si="8">D46+D52+D56</f>
        <v>0</v>
      </c>
      <c r="E61" s="668">
        <f t="shared" ca="1" si="8"/>
        <v>6560.6089763043301</v>
      </c>
      <c r="F61" s="668">
        <f t="shared" si="8"/>
        <v>454.38549179511261</v>
      </c>
      <c r="G61" s="668">
        <f t="shared" ca="1" si="8"/>
        <v>16117.512010477294</v>
      </c>
      <c r="H61" s="668">
        <f t="shared" si="8"/>
        <v>10316.883812408791</v>
      </c>
      <c r="I61" s="668">
        <f t="shared" si="8"/>
        <v>2416.7266101526875</v>
      </c>
      <c r="J61" s="668">
        <f t="shared" si="8"/>
        <v>0</v>
      </c>
      <c r="K61" s="668">
        <f t="shared" si="8"/>
        <v>508.11355727101676</v>
      </c>
      <c r="L61" s="668">
        <f t="shared" si="8"/>
        <v>0</v>
      </c>
      <c r="M61" s="668">
        <f t="shared" ca="1" si="8"/>
        <v>0</v>
      </c>
      <c r="N61" s="668">
        <f t="shared" si="8"/>
        <v>0</v>
      </c>
      <c r="O61" s="668">
        <f t="shared" ca="1" si="8"/>
        <v>0</v>
      </c>
      <c r="P61" s="668">
        <f t="shared" si="8"/>
        <v>0</v>
      </c>
      <c r="Q61" s="668">
        <f t="shared" si="8"/>
        <v>0</v>
      </c>
      <c r="R61" s="668">
        <f ca="1">R46+R52+R56</f>
        <v>41880.13797255684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0.125833991101054</v>
      </c>
      <c r="D63" s="709">
        <f t="shared" ca="1" si="9"/>
        <v>0</v>
      </c>
      <c r="E63" s="942">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6106.7190205962206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12735</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14982.352941176472</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18841.719020596222</v>
      </c>
      <c r="C78" s="683">
        <f>SUM(C72:C77)</f>
        <v>0</v>
      </c>
      <c r="D78" s="684">
        <f t="shared" ref="D78:H78" si="10">SUM(D76:D77)</f>
        <v>0</v>
      </c>
      <c r="E78" s="684">
        <f t="shared" si="10"/>
        <v>0</v>
      </c>
      <c r="F78" s="684">
        <f t="shared" si="10"/>
        <v>0</v>
      </c>
      <c r="G78" s="684">
        <f t="shared" si="10"/>
        <v>0</v>
      </c>
      <c r="H78" s="684">
        <f t="shared" si="10"/>
        <v>0</v>
      </c>
      <c r="I78" s="684">
        <f>SUM(I76:I77)</f>
        <v>0</v>
      </c>
      <c r="J78" s="684">
        <f>SUM(J76:J77)</f>
        <v>14982.352941176472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18192.857142857145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21403.361344537818</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18192.857142857145</v>
      </c>
      <c r="C90" s="683">
        <f>SUM(C87:C89)</f>
        <v>0</v>
      </c>
      <c r="D90" s="683">
        <f t="shared" ref="D90:H90" si="12">SUM(D87:D89)</f>
        <v>0</v>
      </c>
      <c r="E90" s="683">
        <f t="shared" si="12"/>
        <v>0</v>
      </c>
      <c r="F90" s="683">
        <f t="shared" si="12"/>
        <v>0</v>
      </c>
      <c r="G90" s="683">
        <f t="shared" si="12"/>
        <v>0</v>
      </c>
      <c r="H90" s="683">
        <f t="shared" si="12"/>
        <v>0</v>
      </c>
      <c r="I90" s="683">
        <f>SUM(I87:I89)</f>
        <v>0</v>
      </c>
      <c r="J90" s="683">
        <f>SUM(J87:J89)</f>
        <v>21403.361344537818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16832.907053626976</v>
      </c>
      <c r="C4" s="441">
        <f>huishoudens!C8</f>
        <v>0</v>
      </c>
      <c r="D4" s="441">
        <f>huishoudens!D8</f>
        <v>21599.629101092196</v>
      </c>
      <c r="E4" s="441">
        <f>huishoudens!E8</f>
        <v>1442.6506990627893</v>
      </c>
      <c r="F4" s="441">
        <f>huishoudens!F8</f>
        <v>33439.520798659585</v>
      </c>
      <c r="G4" s="441">
        <f>huishoudens!G8</f>
        <v>0</v>
      </c>
      <c r="H4" s="441">
        <f>huishoudens!H8</f>
        <v>0</v>
      </c>
      <c r="I4" s="441">
        <f>huishoudens!I8</f>
        <v>0</v>
      </c>
      <c r="J4" s="441">
        <f>huishoudens!J8</f>
        <v>171.84968139353853</v>
      </c>
      <c r="K4" s="441">
        <f>huishoudens!K8</f>
        <v>0</v>
      </c>
      <c r="L4" s="441">
        <f>huishoudens!L8</f>
        <v>0</v>
      </c>
      <c r="M4" s="441">
        <f>huishoudens!M8</f>
        <v>0</v>
      </c>
      <c r="N4" s="441">
        <f>huishoudens!N8</f>
        <v>6543.4867334314295</v>
      </c>
      <c r="O4" s="441">
        <f>huishoudens!O8</f>
        <v>248.57000000000002</v>
      </c>
      <c r="P4" s="442">
        <f>huishoudens!P8</f>
        <v>438.5333333333333</v>
      </c>
      <c r="Q4" s="443">
        <f>SUM(B4:P4)</f>
        <v>80717.147400599861</v>
      </c>
    </row>
    <row r="5" spans="1:17">
      <c r="A5" s="440" t="s">
        <v>149</v>
      </c>
      <c r="B5" s="441">
        <f ca="1">tertiair!B16</f>
        <v>16680.035582094595</v>
      </c>
      <c r="C5" s="441">
        <f ca="1">tertiair!C16</f>
        <v>0</v>
      </c>
      <c r="D5" s="441">
        <f ca="1">tertiair!D16</f>
        <v>8297.0620038465167</v>
      </c>
      <c r="E5" s="441">
        <f>tertiair!E16</f>
        <v>236.93685618273014</v>
      </c>
      <c r="F5" s="441">
        <f ca="1">tertiair!F16</f>
        <v>7068.306838398772</v>
      </c>
      <c r="G5" s="441">
        <f>tertiair!G16</f>
        <v>0</v>
      </c>
      <c r="H5" s="441">
        <f>tertiair!H16</f>
        <v>0</v>
      </c>
      <c r="I5" s="441">
        <f>tertiair!I16</f>
        <v>0</v>
      </c>
      <c r="J5" s="441">
        <f>tertiair!J16</f>
        <v>0.11643446868849873</v>
      </c>
      <c r="K5" s="441">
        <f>tertiair!K16</f>
        <v>0</v>
      </c>
      <c r="L5" s="441">
        <f ca="1">tertiair!L16</f>
        <v>0</v>
      </c>
      <c r="M5" s="441">
        <f>tertiair!M16</f>
        <v>0</v>
      </c>
      <c r="N5" s="441">
        <f ca="1">tertiair!N16</f>
        <v>4524.7479384637154</v>
      </c>
      <c r="O5" s="441">
        <f>tertiair!O16</f>
        <v>1.5633333333333335</v>
      </c>
      <c r="P5" s="442">
        <f>tertiair!P16</f>
        <v>38.133333333333333</v>
      </c>
      <c r="Q5" s="440">
        <f t="shared" ref="Q5:Q14" ca="1" si="0">SUM(B5:P5)</f>
        <v>36846.902320121677</v>
      </c>
    </row>
    <row r="6" spans="1:17">
      <c r="A6" s="440" t="s">
        <v>187</v>
      </c>
      <c r="B6" s="441">
        <f>'openbare verlichting'!B8</f>
        <v>653.17700000000002</v>
      </c>
      <c r="C6" s="441"/>
      <c r="D6" s="441"/>
      <c r="E6" s="441"/>
      <c r="F6" s="441"/>
      <c r="G6" s="441"/>
      <c r="H6" s="441"/>
      <c r="I6" s="441"/>
      <c r="J6" s="441"/>
      <c r="K6" s="441"/>
      <c r="L6" s="441"/>
      <c r="M6" s="441"/>
      <c r="N6" s="441"/>
      <c r="O6" s="441"/>
      <c r="P6" s="442"/>
      <c r="Q6" s="440">
        <f t="shared" si="0"/>
        <v>653.17700000000002</v>
      </c>
    </row>
    <row r="7" spans="1:17">
      <c r="A7" s="440" t="s">
        <v>105</v>
      </c>
      <c r="B7" s="441">
        <f>landbouw!B8</f>
        <v>4791.1065528715799</v>
      </c>
      <c r="C7" s="441">
        <f>landbouw!C8</f>
        <v>18192.857142857145</v>
      </c>
      <c r="D7" s="441">
        <f>landbouw!D8</f>
        <v>726.6694794919963</v>
      </c>
      <c r="E7" s="441">
        <f>landbouw!E8</f>
        <v>155.48715727484472</v>
      </c>
      <c r="F7" s="441">
        <f>landbouw!F8</f>
        <v>17675.321773129977</v>
      </c>
      <c r="G7" s="441">
        <f>landbouw!G8</f>
        <v>0</v>
      </c>
      <c r="H7" s="441">
        <f>landbouw!H8</f>
        <v>0</v>
      </c>
      <c r="I7" s="441">
        <f>landbouw!I8</f>
        <v>0</v>
      </c>
      <c r="J7" s="441">
        <f>landbouw!J8</f>
        <v>1260.0114897146184</v>
      </c>
      <c r="K7" s="441">
        <f>landbouw!K8</f>
        <v>0</v>
      </c>
      <c r="L7" s="441">
        <f>landbouw!L8</f>
        <v>0</v>
      </c>
      <c r="M7" s="441">
        <f>landbouw!M8</f>
        <v>0</v>
      </c>
      <c r="N7" s="441">
        <f>landbouw!N8</f>
        <v>0</v>
      </c>
      <c r="O7" s="441">
        <f>landbouw!O8</f>
        <v>0</v>
      </c>
      <c r="P7" s="442">
        <f>landbouw!P8</f>
        <v>0</v>
      </c>
      <c r="Q7" s="440">
        <f t="shared" si="0"/>
        <v>42801.453595340165</v>
      </c>
    </row>
    <row r="8" spans="1:17">
      <c r="A8" s="440" t="s">
        <v>596</v>
      </c>
      <c r="B8" s="441">
        <f>industrie!B18</f>
        <v>4277.0125067350427</v>
      </c>
      <c r="C8" s="441">
        <f>industrie!C18</f>
        <v>0</v>
      </c>
      <c r="D8" s="441">
        <f>industrie!D18</f>
        <v>967.90038636503766</v>
      </c>
      <c r="E8" s="441">
        <f>industrie!E18</f>
        <v>70.568467516637043</v>
      </c>
      <c r="F8" s="441">
        <f>industrie!F18</f>
        <v>2182.0641121985354</v>
      </c>
      <c r="G8" s="441">
        <f>industrie!G18</f>
        <v>0</v>
      </c>
      <c r="H8" s="441">
        <f>industrie!H18</f>
        <v>0</v>
      </c>
      <c r="I8" s="441">
        <f>industrie!I18</f>
        <v>0</v>
      </c>
      <c r="J8" s="441">
        <f>industrie!J18</f>
        <v>3.3714262621851603</v>
      </c>
      <c r="K8" s="441">
        <f>industrie!K18</f>
        <v>0</v>
      </c>
      <c r="L8" s="441">
        <f>industrie!L18</f>
        <v>0</v>
      </c>
      <c r="M8" s="441">
        <f>industrie!M18</f>
        <v>0</v>
      </c>
      <c r="N8" s="441">
        <f>industrie!N18</f>
        <v>171.86421084579715</v>
      </c>
      <c r="O8" s="441">
        <f>industrie!O18</f>
        <v>0</v>
      </c>
      <c r="P8" s="442">
        <f>industrie!P18</f>
        <v>0</v>
      </c>
      <c r="Q8" s="440">
        <f t="shared" si="0"/>
        <v>7672.7811099232349</v>
      </c>
    </row>
    <row r="9" spans="1:17" s="446" customFormat="1">
      <c r="A9" s="444" t="s">
        <v>545</v>
      </c>
      <c r="B9" s="445">
        <f>transport!B14</f>
        <v>29.665980284909441</v>
      </c>
      <c r="C9" s="445">
        <f>transport!C14</f>
        <v>0</v>
      </c>
      <c r="D9" s="445">
        <f>transport!D14</f>
        <v>56.724497419601036</v>
      </c>
      <c r="E9" s="445">
        <f>transport!E14</f>
        <v>96.055021703583009</v>
      </c>
      <c r="F9" s="445">
        <f>transport!F14</f>
        <v>0</v>
      </c>
      <c r="G9" s="445">
        <f>transport!G14</f>
        <v>38043.720322785426</v>
      </c>
      <c r="H9" s="445">
        <f>transport!H14</f>
        <v>9705.7293580429214</v>
      </c>
      <c r="I9" s="445">
        <f>transport!I14</f>
        <v>0</v>
      </c>
      <c r="J9" s="445">
        <f>transport!J14</f>
        <v>0</v>
      </c>
      <c r="K9" s="445">
        <f>transport!K14</f>
        <v>0</v>
      </c>
      <c r="L9" s="445">
        <f>transport!L14</f>
        <v>0</v>
      </c>
      <c r="M9" s="445">
        <f>transport!M14</f>
        <v>2508.4632712530815</v>
      </c>
      <c r="N9" s="445">
        <f>transport!N14</f>
        <v>0</v>
      </c>
      <c r="O9" s="445">
        <f>transport!O14</f>
        <v>0</v>
      </c>
      <c r="P9" s="445">
        <f>transport!P14</f>
        <v>0</v>
      </c>
      <c r="Q9" s="444">
        <f>SUM(B9:P9)</f>
        <v>50440.358451489526</v>
      </c>
    </row>
    <row r="10" spans="1:17">
      <c r="A10" s="440" t="s">
        <v>535</v>
      </c>
      <c r="B10" s="441">
        <f>transport!B54</f>
        <v>6.3475992600934354</v>
      </c>
      <c r="C10" s="441">
        <f>transport!C54</f>
        <v>0</v>
      </c>
      <c r="D10" s="441">
        <f>transport!D54</f>
        <v>0</v>
      </c>
      <c r="E10" s="441">
        <f>transport!E54</f>
        <v>0</v>
      </c>
      <c r="F10" s="441">
        <f>transport!F54</f>
        <v>0</v>
      </c>
      <c r="G10" s="441">
        <f>transport!G54</f>
        <v>596.29395589918488</v>
      </c>
      <c r="H10" s="441">
        <f>transport!H54</f>
        <v>0</v>
      </c>
      <c r="I10" s="441">
        <f>transport!I54</f>
        <v>0</v>
      </c>
      <c r="J10" s="441">
        <f>transport!J54</f>
        <v>0</v>
      </c>
      <c r="K10" s="441">
        <f>transport!K54</f>
        <v>0</v>
      </c>
      <c r="L10" s="441">
        <f>transport!L54</f>
        <v>0</v>
      </c>
      <c r="M10" s="441">
        <f>transport!M54</f>
        <v>34.338778556848411</v>
      </c>
      <c r="N10" s="441">
        <f>transport!N54</f>
        <v>0</v>
      </c>
      <c r="O10" s="441">
        <f>transport!O54</f>
        <v>0</v>
      </c>
      <c r="P10" s="442">
        <f>transport!P54</f>
        <v>0</v>
      </c>
      <c r="Q10" s="440">
        <f t="shared" si="0"/>
        <v>636.98033371612678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485.07540702440002</v>
      </c>
      <c r="C14" s="448"/>
      <c r="D14" s="448">
        <f>'SEAP template'!E25</f>
        <v>830.27679071698003</v>
      </c>
      <c r="E14" s="448"/>
      <c r="F14" s="448"/>
      <c r="G14" s="448"/>
      <c r="H14" s="448"/>
      <c r="I14" s="448"/>
      <c r="J14" s="448"/>
      <c r="K14" s="448"/>
      <c r="L14" s="448"/>
      <c r="M14" s="448"/>
      <c r="N14" s="448"/>
      <c r="O14" s="448"/>
      <c r="P14" s="449"/>
      <c r="Q14" s="440">
        <f t="shared" si="0"/>
        <v>1315.35219774138</v>
      </c>
    </row>
    <row r="15" spans="1:17" s="450" customFormat="1">
      <c r="A15" s="957" t="s">
        <v>539</v>
      </c>
      <c r="B15" s="905">
        <f ca="1">SUM(B4:B14)</f>
        <v>43755.327681897601</v>
      </c>
      <c r="C15" s="905">
        <f t="shared" ref="C15:Q15" ca="1" si="1">SUM(C4:C14)</f>
        <v>18192.857142857145</v>
      </c>
      <c r="D15" s="905">
        <f t="shared" ca="1" si="1"/>
        <v>32478.262258932325</v>
      </c>
      <c r="E15" s="905">
        <f t="shared" si="1"/>
        <v>2001.6982017405844</v>
      </c>
      <c r="F15" s="905">
        <f t="shared" ca="1" si="1"/>
        <v>60365.213522386868</v>
      </c>
      <c r="G15" s="905">
        <f t="shared" si="1"/>
        <v>38640.014278684612</v>
      </c>
      <c r="H15" s="905">
        <f t="shared" si="1"/>
        <v>9705.7293580429214</v>
      </c>
      <c r="I15" s="905">
        <f t="shared" si="1"/>
        <v>0</v>
      </c>
      <c r="J15" s="905">
        <f t="shared" si="1"/>
        <v>1435.3490318390307</v>
      </c>
      <c r="K15" s="905">
        <f t="shared" si="1"/>
        <v>0</v>
      </c>
      <c r="L15" s="905">
        <f t="shared" ca="1" si="1"/>
        <v>0</v>
      </c>
      <c r="M15" s="905">
        <f t="shared" si="1"/>
        <v>2542.8020498099299</v>
      </c>
      <c r="N15" s="905">
        <f t="shared" ca="1" si="1"/>
        <v>11240.098882740942</v>
      </c>
      <c r="O15" s="905">
        <f t="shared" si="1"/>
        <v>250.13333333333335</v>
      </c>
      <c r="P15" s="905">
        <f t="shared" si="1"/>
        <v>476.66666666666663</v>
      </c>
      <c r="Q15" s="905">
        <f t="shared" ca="1" si="1"/>
        <v>221084.15240893199</v>
      </c>
    </row>
    <row r="17" spans="1:17">
      <c r="A17" s="451" t="s">
        <v>540</v>
      </c>
      <c r="B17" s="714">
        <f ca="1">huishoudens!B10</f>
        <v>0.125833991101054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2118.1518763909662</v>
      </c>
      <c r="C22" s="441">
        <f t="shared" ref="C22:C32" ca="1" si="3">C4*$C$17</f>
        <v>0</v>
      </c>
      <c r="D22" s="441">
        <f t="shared" ref="D22:D32" si="4">D4*$D$17</f>
        <v>4363.125078420624</v>
      </c>
      <c r="E22" s="441">
        <f t="shared" ref="E22:E32" si="5">E4*$E$17</f>
        <v>327.48170868725316</v>
      </c>
      <c r="F22" s="441">
        <f t="shared" ref="F22:F32" si="6">F4*$F$17</f>
        <v>8928.3520532421098</v>
      </c>
      <c r="G22" s="441">
        <f t="shared" ref="G22:G32" si="7">G4*$G$17</f>
        <v>0</v>
      </c>
      <c r="H22" s="441">
        <f t="shared" ref="H22:H32" si="8">H4*$H$17</f>
        <v>0</v>
      </c>
      <c r="I22" s="441">
        <f t="shared" ref="I22:I32" si="9">I4*$I$17</f>
        <v>0</v>
      </c>
      <c r="J22" s="441">
        <f t="shared" ref="J22:J32" si="10">J4*$J$17</f>
        <v>60.834787213312637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15797.945503954266</v>
      </c>
    </row>
    <row r="23" spans="1:17">
      <c r="A23" s="440" t="s">
        <v>149</v>
      </c>
      <c r="B23" s="441">
        <f t="shared" ca="1" si="2"/>
        <v>2098.9154490025553</v>
      </c>
      <c r="C23" s="441">
        <f t="shared" ca="1" si="3"/>
        <v>0</v>
      </c>
      <c r="D23" s="441">
        <f t="shared" ca="1" si="4"/>
        <v>1676.0065247769965</v>
      </c>
      <c r="E23" s="441">
        <f t="shared" si="5"/>
        <v>53.784666353479743</v>
      </c>
      <c r="F23" s="441">
        <f t="shared" ca="1" si="6"/>
        <v>1887.2379258524722</v>
      </c>
      <c r="G23" s="441">
        <f t="shared" si="7"/>
        <v>0</v>
      </c>
      <c r="H23" s="441">
        <f t="shared" si="8"/>
        <v>0</v>
      </c>
      <c r="I23" s="441">
        <f t="shared" si="9"/>
        <v>0</v>
      </c>
      <c r="J23" s="441">
        <f t="shared" si="10"/>
        <v>4.1217801915728547E-2</v>
      </c>
      <c r="K23" s="441">
        <f t="shared" si="11"/>
        <v>0</v>
      </c>
      <c r="L23" s="441">
        <f t="shared" ca="1" si="12"/>
        <v>0</v>
      </c>
      <c r="M23" s="441">
        <f t="shared" si="13"/>
        <v>0</v>
      </c>
      <c r="N23" s="441">
        <f t="shared" ca="1" si="14"/>
        <v>0</v>
      </c>
      <c r="O23" s="441">
        <f t="shared" si="15"/>
        <v>0</v>
      </c>
      <c r="P23" s="442">
        <f t="shared" si="16"/>
        <v>0</v>
      </c>
      <c r="Q23" s="440">
        <f t="shared" ref="Q23:Q32" ca="1" si="17">SUM(B23:P23)</f>
        <v>5715.9857837874197</v>
      </c>
    </row>
    <row r="24" spans="1:17">
      <c r="A24" s="440" t="s">
        <v>187</v>
      </c>
      <c r="B24" s="441">
        <f t="shared" ca="1" si="2"/>
        <v>82.191868805413151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82.191868805413151</v>
      </c>
    </row>
    <row r="25" spans="1:17">
      <c r="A25" s="440" t="s">
        <v>105</v>
      </c>
      <c r="B25" s="441">
        <f t="shared" ca="1" si="2"/>
        <v>602.8840593382439</v>
      </c>
      <c r="C25" s="441">
        <f t="shared" ca="1" si="3"/>
        <v>0</v>
      </c>
      <c r="D25" s="441">
        <f t="shared" si="4"/>
        <v>146.78723485738325</v>
      </c>
      <c r="E25" s="441">
        <f t="shared" si="5"/>
        <v>35.29558470138975</v>
      </c>
      <c r="F25" s="441">
        <f t="shared" si="6"/>
        <v>4719.3109134257038</v>
      </c>
      <c r="G25" s="441">
        <f t="shared" si="7"/>
        <v>0</v>
      </c>
      <c r="H25" s="441">
        <f t="shared" si="8"/>
        <v>0</v>
      </c>
      <c r="I25" s="441">
        <f t="shared" si="9"/>
        <v>0</v>
      </c>
      <c r="J25" s="441">
        <f t="shared" si="10"/>
        <v>446.04406735897487</v>
      </c>
      <c r="K25" s="441">
        <f t="shared" si="11"/>
        <v>0</v>
      </c>
      <c r="L25" s="441">
        <f t="shared" si="12"/>
        <v>0</v>
      </c>
      <c r="M25" s="441">
        <f t="shared" si="13"/>
        <v>0</v>
      </c>
      <c r="N25" s="441">
        <f t="shared" si="14"/>
        <v>0</v>
      </c>
      <c r="O25" s="441">
        <f t="shared" si="15"/>
        <v>0</v>
      </c>
      <c r="P25" s="442">
        <f t="shared" si="16"/>
        <v>0</v>
      </c>
      <c r="Q25" s="440">
        <f t="shared" ca="1" si="17"/>
        <v>5950.3218596816951</v>
      </c>
    </row>
    <row r="26" spans="1:17">
      <c r="A26" s="440" t="s">
        <v>596</v>
      </c>
      <c r="B26" s="441">
        <f t="shared" ca="1" si="2"/>
        <v>538.19355371159406</v>
      </c>
      <c r="C26" s="441">
        <f t="shared" ca="1" si="3"/>
        <v>0</v>
      </c>
      <c r="D26" s="441">
        <f t="shared" si="4"/>
        <v>195.51587804573762</v>
      </c>
      <c r="E26" s="441">
        <f t="shared" si="5"/>
        <v>16.019042126276609</v>
      </c>
      <c r="F26" s="441">
        <f t="shared" si="6"/>
        <v>582.61111795700901</v>
      </c>
      <c r="G26" s="441">
        <f t="shared" si="7"/>
        <v>0</v>
      </c>
      <c r="H26" s="441">
        <f t="shared" si="8"/>
        <v>0</v>
      </c>
      <c r="I26" s="441">
        <f t="shared" si="9"/>
        <v>0</v>
      </c>
      <c r="J26" s="441">
        <f t="shared" si="10"/>
        <v>1.1934848968135467</v>
      </c>
      <c r="K26" s="441">
        <f t="shared" si="11"/>
        <v>0</v>
      </c>
      <c r="L26" s="441">
        <f t="shared" si="12"/>
        <v>0</v>
      </c>
      <c r="M26" s="441">
        <f t="shared" si="13"/>
        <v>0</v>
      </c>
      <c r="N26" s="441">
        <f t="shared" si="14"/>
        <v>0</v>
      </c>
      <c r="O26" s="441">
        <f t="shared" si="15"/>
        <v>0</v>
      </c>
      <c r="P26" s="442">
        <f t="shared" si="16"/>
        <v>0</v>
      </c>
      <c r="Q26" s="440">
        <f t="shared" ca="1" si="17"/>
        <v>1333.5330767374307</v>
      </c>
    </row>
    <row r="27" spans="1:17" s="446" customFormat="1">
      <c r="A27" s="444" t="s">
        <v>545</v>
      </c>
      <c r="B27" s="708">
        <f t="shared" ca="1" si="2"/>
        <v>3.7329886991753383</v>
      </c>
      <c r="C27" s="445">
        <f t="shared" ca="1" si="3"/>
        <v>0</v>
      </c>
      <c r="D27" s="445">
        <f t="shared" si="4"/>
        <v>11.45834847875941</v>
      </c>
      <c r="E27" s="445">
        <f t="shared" si="5"/>
        <v>21.804489926713345</v>
      </c>
      <c r="F27" s="445">
        <f t="shared" si="6"/>
        <v>0</v>
      </c>
      <c r="G27" s="445">
        <f t="shared" si="7"/>
        <v>10157.673326183709</v>
      </c>
      <c r="H27" s="445">
        <f t="shared" si="8"/>
        <v>2416.7266101526875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12611.395763441045</v>
      </c>
    </row>
    <row r="28" spans="1:17">
      <c r="A28" s="440" t="s">
        <v>535</v>
      </c>
      <c r="B28" s="441">
        <f t="shared" ca="1" si="2"/>
        <v>0.79874374880765431</v>
      </c>
      <c r="C28" s="441">
        <f t="shared" ca="1" si="3"/>
        <v>0</v>
      </c>
      <c r="D28" s="441">
        <f t="shared" si="4"/>
        <v>0</v>
      </c>
      <c r="E28" s="441">
        <f t="shared" si="5"/>
        <v>0</v>
      </c>
      <c r="F28" s="441">
        <f t="shared" si="6"/>
        <v>0</v>
      </c>
      <c r="G28" s="441">
        <f t="shared" si="7"/>
        <v>159.21048622508238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160.00922997389003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61.038974450848499</v>
      </c>
      <c r="C32" s="441">
        <f t="shared" ca="1" si="3"/>
        <v>0</v>
      </c>
      <c r="D32" s="441">
        <f t="shared" si="4"/>
        <v>167.71591172482997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228.75488617567845</v>
      </c>
    </row>
    <row r="33" spans="1:17" s="450" customFormat="1">
      <c r="A33" s="957" t="s">
        <v>539</v>
      </c>
      <c r="B33" s="905">
        <f ca="1">SUM(B22:B32)</f>
        <v>5505.9075141476042</v>
      </c>
      <c r="C33" s="905">
        <f t="shared" ref="C33:Q33" ca="1" si="18">SUM(C22:C32)</f>
        <v>0</v>
      </c>
      <c r="D33" s="905">
        <f t="shared" ca="1" si="18"/>
        <v>6560.6089763043301</v>
      </c>
      <c r="E33" s="905">
        <f t="shared" si="18"/>
        <v>454.38549179511261</v>
      </c>
      <c r="F33" s="905">
        <f t="shared" ca="1" si="18"/>
        <v>16117.512010477296</v>
      </c>
      <c r="G33" s="905">
        <f t="shared" si="18"/>
        <v>10316.883812408791</v>
      </c>
      <c r="H33" s="905">
        <f t="shared" si="18"/>
        <v>2416.7266101526875</v>
      </c>
      <c r="I33" s="905">
        <f t="shared" si="18"/>
        <v>0</v>
      </c>
      <c r="J33" s="905">
        <f t="shared" si="18"/>
        <v>508.11355727101682</v>
      </c>
      <c r="K33" s="905">
        <f t="shared" si="18"/>
        <v>0</v>
      </c>
      <c r="L33" s="905">
        <f t="shared" ca="1" si="18"/>
        <v>0</v>
      </c>
      <c r="M33" s="905">
        <f t="shared" si="18"/>
        <v>0</v>
      </c>
      <c r="N33" s="905">
        <f t="shared" ca="1" si="18"/>
        <v>0</v>
      </c>
      <c r="O33" s="905">
        <f t="shared" si="18"/>
        <v>0</v>
      </c>
      <c r="P33" s="905">
        <f t="shared" si="18"/>
        <v>0</v>
      </c>
      <c r="Q33" s="905">
        <f t="shared" ca="1" si="18"/>
        <v>41880.13797255684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6106.7190205962206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12735</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14982.352941176472</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18841.719020596222</v>
      </c>
      <c r="C10" s="978">
        <f>SUM(C4:C9)</f>
        <v>0</v>
      </c>
      <c r="D10" s="978">
        <f t="shared" ref="D10:H10" si="0">SUM(D8:D9)</f>
        <v>0</v>
      </c>
      <c r="E10" s="978">
        <f t="shared" si="0"/>
        <v>0</v>
      </c>
      <c r="F10" s="978">
        <f t="shared" si="0"/>
        <v>0</v>
      </c>
      <c r="G10" s="978">
        <f t="shared" si="0"/>
        <v>0</v>
      </c>
      <c r="H10" s="978">
        <f t="shared" si="0"/>
        <v>0</v>
      </c>
      <c r="I10" s="978">
        <f>SUM(I8:I9)</f>
        <v>0</v>
      </c>
      <c r="J10" s="978">
        <f>SUM(J8:J9)</f>
        <v>14982.352941176472</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0.125833991101054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18192.857142857145</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21403.361344537818</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18192.857142857145</v>
      </c>
      <c r="C20" s="978">
        <f>SUM(C17:C19)</f>
        <v>0</v>
      </c>
      <c r="D20" s="978">
        <f t="shared" ref="D20:H20" si="2">SUM(D17:D19)</f>
        <v>0</v>
      </c>
      <c r="E20" s="978">
        <f t="shared" si="2"/>
        <v>0</v>
      </c>
      <c r="F20" s="978">
        <f t="shared" si="2"/>
        <v>0</v>
      </c>
      <c r="G20" s="978">
        <f t="shared" si="2"/>
        <v>0</v>
      </c>
      <c r="H20" s="978">
        <f t="shared" si="2"/>
        <v>0</v>
      </c>
      <c r="I20" s="978">
        <f>SUM(I17:I19)</f>
        <v>0</v>
      </c>
      <c r="J20" s="978">
        <f>SUM(J17:J19)</f>
        <v>21403.361344537818</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0.125833991101054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2022-07-26T10:41:32Z</dcterms:modified>
</cp:coreProperties>
</file>