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73BE73D-23B3-4FC7-A451-F83912B3CF9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<sst xmlns="http://schemas.openxmlformats.org/spreadsheetml/2006/main" count="2407" uniqueCount="882">
  <si>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</si>
  <si>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</si>
  <si>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</si>
  <si>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</si>
  <si>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</si>
  <si>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</si>
  <si>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</si>
  <si>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</si>
  <si>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</si>
  <si>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</si>
  <si>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</si>
  <si>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</si>
  <si>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</si>
  <si>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</si>
  <si>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</si>
  <si>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</si>
  <si>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</si>
  <si>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</si>
  <si>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</si>
  <si>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</si>
  <si>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</si>
  <si>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</si>
  <si>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</si>
  <si>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</si>
  <si>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</si>
  <si>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</si>
  <si>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</si>
  <si>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</si>
  <si>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</si>
  <si>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</si>
  <si>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</si>
  <si>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</si>
  <si>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</si>
  <si>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</si>
  <si>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</si>
  <si>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</si>
  <si>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</si>
  <si>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</si>
  <si>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</si>
  <si>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</si>
  <si>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</si>
  <si>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</si>
  <si>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</si>
  <si>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</si>
  <si>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</si>
  <si>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</si>
  <si>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</si>
  <si>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</si>
  <si>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</si>
  <si>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</si>
  <si>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</si>
  <si>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</si>
  <si>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</si>
  <si>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</si>
  <si>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</si>
  <si>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</si>
  <si>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</si>
  <si>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</si>
  <si>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</si>
  <si>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</si>
  <si>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</si>
  <si>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</si>
  <si>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</si>
  <si>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</si>
  <si>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</si>
  <si>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</si>
  <si>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</si>
  <si>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</si>
  <si>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</si>
  <si>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</si>
  <si>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</si>
  <si>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</si>
  <si>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</si>
  <si>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</si>
  <si>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</si>
  <si>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</si>
  <si>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</si>
  <si>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</si>
  <si>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</si>
  <si>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</si>
  <si>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</si>
  <si>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</si>
  <si>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</si>
  <si>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</si>
  <si>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</si>
  <si>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</si>
  <si>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</si>
  <si>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</si>
  <si>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</si>
  <si>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</si>
  <si>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</si>
  <si>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</si>
  <si>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</si>
  <si>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</si>
  <si>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</si>
  <si>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</si>
  <si>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</si>
  <si>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</si>
  <si>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</si>
  <si>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</si>
  <si>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</si>
  <si>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</si>
  <si>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</si>
  <si>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</si>
  <si>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</si>
  <si>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</si>
  <si>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</si>
  <si>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</si>
  <si>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</si>
  <si>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</si>
  <si>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</si>
  <si>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</si>
  <si>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</si>
  <si>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</si>
  <si>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</si>
  <si>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</si>
  <si>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</si>
  <si>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</si>
  <si>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</si>
  <si>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</si>
  <si>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</si>
  <si>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</si>
  <si>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</si>
  <si>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</si>
  <si>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</si>
  <si>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</si>
  <si>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</si>
  <si>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</si>
  <si>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</si>
  <si>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</si>
  <si>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</si>
  <si>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</si>
  <si>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</si>
  <si>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</si>
  <si>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</si>
  <si>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</si>
  <si>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</si>
  <si>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</si>
  <si>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</si>
  <si>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</si>
  <si>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</si>
  <si>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</si>
  <si>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</si>
  <si>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</si>
  <si>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</si>
  <si>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</si>
  <si>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</si>
  <si>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</si>
  <si>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</si>
  <si>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</si>
  <si>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</si>
  <si>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</si>
  <si>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</si>
  <si>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</si>
  <si>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</si>
  <si>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</si>
  <si>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</si>
  <si>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</si>
  <si>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</si>
  <si>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</si>
  <si>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</si>
  <si>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</si>
  <si>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</si>
  <si>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</si>
  <si>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</si>
  <si>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</si>
  <si>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</si>
  <si>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</si>
  <si>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</si>
  <si>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</si>
  <si>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</si>
  <si>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</si>
  <si>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</si>
  <si>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</si>
  <si>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</si>
  <si>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</si>
  <si>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</si>
  <si>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</si>
  <si>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</si>
  <si>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</si>
  <si>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</si>
  <si>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</si>
  <si>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</si>
  <si>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</si>
  <si>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</si>
  <si>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</si>
  <si>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</si>
  <si>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</si>
  <si>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</si>
  <si>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</si>
  <si>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</si>
  <si>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</si>
  <si>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</si>
  <si>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</si>
  <si>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</si>
  <si>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</si>
  <si>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</si>
  <si>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</si>
  <si>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</si>
  <si>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</si>
  <si>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</si>
  <si>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</si>
  <si>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</si>
  <si>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</si>
  <si>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</si>
  <si>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</si>
  <si>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</si>
  <si>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</si>
  <si>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</si>
  <si>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</si>
  <si>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</si>
  <si>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</si>
  <si>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</si>
  <si>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</si>
  <si>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</si>
  <si>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</si>
  <si>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</si>
  <si>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</si>
  <si>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</si>
  <si>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</si>
  <si>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</si>
  <si>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</si>
  <si>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</si>
  <si>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</si>
  <si>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</si>
  <si>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</si>
  <si>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</si>
  <si>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</si>
  <si>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</si>
  <si>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</si>
  <si>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</si>
  <si>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</si>
  <si>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</si>
  <si>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</si>
  <si>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</si>
  <si>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</si>
  <si>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</si>
  <si>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</si>
  <si>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</si>
  <si>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</si>
  <si>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</si>
  <si>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</si>
  <si>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</si>
  <si>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</si>
  <si>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</si>
  <si>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</si>
  <si>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</si>
  <si>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</si>
  <si>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</si>
  <si>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</si>
  <si>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</si>
  <si>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</si>
  <si>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</si>
  <si>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</si>
  <si>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</si>
  <si>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</si>
  <si>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</si>
  <si>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</si>
  <si>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</si>
  <si>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</si>
  <si>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</si>
  <si>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</si>
  <si>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</si>
  <si>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</si>
  <si>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</si>
  <si>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</si>
  <si>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</si>
  <si>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</si>
  <si>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</si>
  <si>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</si>
  <si>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</si>
  <si>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</si>
  <si>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</si>
  <si>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</si>
  <si>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</si>
  <si>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</si>
  <si>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</si>
  <si>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</si>
  <si>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</si>
  <si>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</si>
  <si>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</si>
  <si>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</si>
  <si>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</si>
  <si>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</si>
  <si>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</si>
  <si>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</si>
  <si>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</si>
  <si>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</si>
  <si>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</si>
  <si>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</si>
  <si>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</si>
  <si>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</si>
  <si>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</si>
  <si>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</si>
  <si>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</si>
  <si>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</si>
  <si>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</si>
  <si>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</si>
  <si>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</si>
  <si>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</si>
  <si>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</si>
  <si>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</si>
  <si>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</si>
  <si>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</si>
  <si>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</si>
  <si>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</si>
  <si>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</si>
  <si>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</si>
  <si>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</si>
  <si>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</si>
  <si>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</si>
  <si>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</si>
  <si>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</si>
  <si>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</si>
  <si>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</si>
  <si>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</si>
  <si>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</si>
  <si>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</si>
  <si>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</si>
  <si>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</si>
  <si>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</si>
  <si>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</si>
  <si>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</si>
  <si>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</si>
  <si>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</si>
  <si>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</si>
  <si>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</si>
  <si>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</si>
  <si>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</si>
  <si>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</si>
  <si>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</si>
  <si>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</si>
  <si>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</si>
  <si>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</si>
  <si>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</si>
  <si>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</si>
  <si>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</si>
  <si>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</si>
  <si>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</si>
  <si>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</si>
  <si>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</si>
  <si>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</si>
  <si>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</si>
  <si>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</si>
  <si>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</si>
  <si>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</si>
  <si>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</si>
  <si>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</si>
  <si>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</si>
  <si>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</si>
  <si>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</si>
  <si>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</si>
  <si>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</si>
  <si>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</si>
  <si>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</si>
  <si>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</si>
  <si>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</si>
  <si>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</si>
  <si>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</si>
  <si>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</si>
  <si>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</si>
  <si>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</si>
  <si>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</si>
  <si>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</si>
  <si>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</si>
  <si>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</si>
  <si>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</si>
  <si>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</si>
  <si>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</si>
  <si>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</si>
  <si>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</si>
  <si>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</si>
  <si>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</si>
  <si>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</si>
  <si>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</si>
  <si>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</si>
  <si>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</si>
  <si>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</si>
  <si>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</si>
  <si>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</si>
  <si>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</si>
  <si>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</si>
  <si>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</si>
  <si>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</si>
  <si>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</si>
  <si>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</si>
  <si>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</si>
  <si>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</si>
  <si>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</si>
  <si>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</si>
  <si>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</si>
  <si>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</si>
  <si>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</si>
  <si>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</si>
  <si>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</si>
  <si>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</si>
  <si>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</si>
  <si>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</si>
  <si>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</si>
  <si>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</si>
  <si>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</si>
  <si>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</si>
  <si>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</si>
  <si>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</si>
  <si>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</si>
  <si>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</si>
  <si>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</si>
  <si>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</si>
  <si>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</si>
  <si>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</si>
  <si>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</si>
  <si>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</si>
  <si>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</si>
  <si>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</si>
  <si>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</si>
  <si>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</si>
  <si>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</si>
  <si>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</si>
  <si>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</si>
  <si>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</si>
  <si>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</si>
  <si>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</si>
  <si>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</si>
  <si>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</si>
  <si>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</si>
  <si>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</si>
  <si>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</si>
  <si>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</si>
  <si>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</si>
  <si>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</si>
  <si>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</si>
  <si>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</si>
  <si>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</si>
  <si>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</si>
  <si>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</si>
  <si>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</si>
  <si>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</si>
  <si>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</si>
  <si>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</si>
  <si>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</si>
  <si>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</si>
  <si>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</si>
  <si>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</si>
  <si>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</si>
  <si>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</si>
  <si>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</si>
  <si>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</si>
  <si>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</si>
  <si>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</si>
  <si>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</si>
  <si>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</si>
  <si>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</si>
  <si>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</si>
  <si>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</si>
  <si>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</si>
  <si>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</si>
  <si>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</si>
  <si>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</si>
  <si>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</si>
  <si>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</si>
  <si>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</si>
  <si>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</si>
  <si>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</si>
  <si>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</si>
  <si>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</si>
  <si>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</si>
  <si>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</si>
  <si>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</si>
  <si>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</si>
  <si>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</si>
  <si>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</si>
  <si>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</si>
  <si>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</si>
  <si>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</si>
  <si>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</si>
  <si>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</si>
  <si>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</si>
  <si>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</si>
  <si>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</si>
  <si>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</si>
  <si>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</si>
  <si>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</si>
  <si>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</si>
  <si>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</si>
  <si>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</si>
  <si>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</si>
  <si>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</si>
  <si>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</si>
  <si>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</si>
  <si>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</si>
  <si>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</si>
  <si>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</si>
  <si>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</si>
  <si>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</si>
  <si>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</si>
  <si>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</si>
  <si>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</si>
  <si>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</si>
  <si>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</si>
  <si>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</si>
  <si>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</si>
  <si>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</si>
  <si>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</si>
  <si>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</si>
  <si>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</si>
  <si>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</si>
  <si>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</si>
  <si>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</si>
  <si>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</si>
  <si>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</si>
  <si>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</si>
  <si>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</si>
  <si>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</si>
  <si>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</si>
  <si>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</si>
  <si>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</si>
  <si>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</si>
  <si>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</si>
  <si>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</si>
  <si>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</si>
  <si>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</si>
  <si>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</si>
  <si>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</si>
  <si>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</si>
  <si>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</si>
  <si>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</si>
  <si>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</si>
  <si>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</si>
  <si>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</si>
  <si>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</si>
  <si>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</si>
  <si>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</si>
  <si>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</si>
  <si>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</si>
  <si>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</si>
  <si>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</si>
  <si>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</si>
  <si>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</si>
  <si>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</si>
  <si>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</si>
  <si>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</si>
  <si>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</si>
  <si>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</si>
  <si>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</si>
  <si>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</si>
  <si>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</si>
  <si>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</si>
  <si>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</si>
  <si>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</si>
  <si>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</si>
  <si>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</si>
  <si>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</si>
  <si>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</si>
  <si>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</si>
  <si>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</si>
  <si>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</si>
  <si>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</si>
  <si>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</si>
  <si>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</si>
  <si>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</si>
  <si>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</si>
  <si>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</si>
  <si>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</si>
  <si>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</si>
  <si>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</si>
  <si>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</si>
  <si>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</si>
  <si>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</si>
  <si>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</si>
  <si>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</si>
  <si>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</si>
  <si>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</si>
  <si>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</si>
  <si>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</si>
  <si>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</si>
  <si>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</si>
  <si>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</si>
  <si>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</si>
  <si>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</si>
  <si>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</si>
  <si>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</si>
  <si>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</si>
  <si>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</si>
  <si>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</si>
  <si>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</si>
  <si>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</si>
  <si>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</si>
  <si>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</si>
  <si>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</si>
  <si>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</si>
  <si>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</si>
  <si>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</si>
  <si>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</si>
  <si>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</si>
  <si>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</si>
  <si>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</si>
  <si>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</si>
  <si>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</si>
  <si>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</si>
  <si>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</si>
  <si>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</si>
  <si>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</si>
  <si>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</si>
  <si>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</si>
  <si>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</si>
  <si>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</si>
  <si>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</si>
  <si>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</si>
  <si>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</si>
  <si>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</si>
  <si>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</si>
  <si>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</si>
  <si>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</si>
  <si>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</si>
  <si>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</si>
  <si>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</si>
  <si>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</si>
  <si>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</si>
  <si>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</si>
  <si>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</si>
  <si>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</si>
  <si>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</si>
  <si>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</si>
  <si>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</si>
  <si>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</si>
  <si>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</si>
  <si>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</si>
  <si>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</si>
  <si>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</si>
  <si>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</si>
  <si>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</si>
  <si>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</si>
  <si>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</si>
  <si>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</si>
  <si>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</si>
  <si>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</si>
  <si>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</si>
  <si>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</si>
  <si>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</si>
  <si>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</si>
  <si>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</si>
  <si>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</si>
  <si>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</si>
  <si>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</si>
  <si>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</si>
  <si>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</si>
  <si>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</si>
  <si>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</si>
  <si>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</si>
  <si>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</si>
  <si>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</si>
  <si>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</si>
  <si>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</si>
  <si>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</si>
  <si>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</si>
  <si>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</si>
  <si>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</si>
  <si>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</si>
  <si>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</si>
  <si>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</si>
  <si>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</si>
  <si>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</si>
  <si>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</si>
  <si>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</si>
  <si>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</si>
  <si>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</si>
  <si>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</si>
  <si>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</si>
  <si>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</si>
  <si>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</si>
  <si>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</si>
  <si>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</si>
  <si>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</si>
  <si>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</si>
  <si>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</si>
  <si>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</si>
  <si>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</si>
  <si>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</si>
  <si>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</si>
  <si>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</si>
  <si>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</si>
  <si>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</si>
  <si>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</si>
  <si>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</si>
  <si>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</si>
  <si>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</si>
  <si>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</si>
  <si>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</si>
  <si>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</si>
  <si>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</si>
  <si>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</si>
  <si>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</si>
  <si>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</si>
  <si>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</si>
  <si>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</si>
  <si>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</si>
  <si>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</si>
  <si>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</si>
  <si>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</si>
  <si>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</si>
  <si>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</si>
  <si>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</si>
  <si>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</si>
  <si>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</si>
  <si>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</si>
  <si>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</si>
  <si>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</si>
  <si>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</si>
  <si>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</si>
  <si>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</si>
  <si>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</si>
  <si>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</si>
  <si>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</si>
  <si>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</si>
  <si>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</si>
  <si>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</si>
  <si>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</si>
  <si>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</si>
  <si>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</si>
  <si>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</si>
  <si>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</si>
  <si>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</si>
  <si>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</si>
  <si>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</si>
  <si>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</si>
  <si>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</si>
  <si>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</si>
  <si>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</si>
  <si>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</si>
  <si>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</si>
  <si>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</si>
  <si>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</si>
  <si>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</si>
  <si>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</si>
  <si>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</si>
  <si>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</si>
  <si>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</si>
  <si>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</si>
  <si>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</si>
  <si>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</si>
  <si>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</si>
  <si>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</si>
  <si>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</si>
  <si>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</si>
  <si>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</si>
  <si>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</si>
  <si>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</si>
  <si>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</si>
  <si>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</si>
  <si>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</si>
  <si>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</si>
  <si>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</si>
  <si>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</si>
  <si>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</si>
  <si>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</si>
  <si>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</si>
  <si>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</si>
  <si>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</si>
  <si>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</si>
  <si>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</si>
  <si>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</si>
  <si>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</si>
  <si>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</si>
  <si>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</si>
  <si>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</si>
  <si>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</si>
  <si>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</si>
  <si>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</si>
  <si>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</si>
  <si>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</si>
  <si>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</si>
  <si>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</si>
  <si>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</si>
  <si>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</si>
  <si>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</si>
  <si>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</si>
  <si>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</si>
  <si>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</si>
  <si>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</si>
  <si>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</si>
  <si>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</si>
  <si>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</si>
  <si>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</si>
  <si>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</si>
  <si>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</si>
  <si>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</si>
  <si>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</si>
  <si>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</si>
  <si>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</si>
  <si>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</si>
  <si>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</si>
  <si>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</si>
  <si>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</si>
  <si>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</si>
  <si>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</si>
  <si>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</si>
  <si>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</si>
  <si>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</si>
  <si>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</si>
  <si>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</si>
  <si>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</si>
  <si>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</si>
  <si>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</si>
  <si>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</si>
  <si>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</si>
  <si>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</si>
  <si>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</si>
  <si>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</si>
  <si>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</si>
  <si>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</si>
  <si>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</si>
  <si>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</si>
  <si>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</si>
  <si>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</si>
  <si>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</si>
  <si>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</si>
  <si>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</si>
  <si>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</si>
  <si>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</si>
  <si>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</si>
  <si>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</si>
  <si>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</si>
  <si>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</si>
  <si>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</si>
  <si>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</si>
  <si>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</si>
  <si>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</si>
  <si>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</si>
  <si>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</si>
  <si>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</si>
  <si>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</si>
  <si>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</si>
  <si>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</si>
  <si>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</si>
  <si>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</si>
  <si>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</si>
  <si>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</si>
  <si>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</si>
  <si>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</si>
  <si>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</si>
  <si>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</si>
  <si>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</si>
  <si>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</si>
  <si>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</si>
  <si>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</si>
  <si>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</si>
  <si>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</si>
  <si>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</si>
  <si>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</si>
  <si>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</si>
  <si>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</si>
  <si>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</si>
  <si>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</si>
  <si>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</si>
  <si>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</si>
  <si>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</si>
  <si>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</si>
  <si>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</si>
  <si>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</si>
  <si>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</si>
  <si>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</si>
  <si>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</si>
  <si>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</si>
  <si>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</si>
  <si>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</si>
  <si>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</si>
  <si>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</si>
  <si>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</si>
  <si>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</si>
  <si>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</si>
  <si>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</si>
  <si>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</si>
  <si>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</si>
  <si>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</si>
  <si>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</si>
  <si>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24059</t>
  </si>
  <si>
    <t>LANDEN</t>
  </si>
  <si>
    <t>vloeibaar gas (MWh)</t>
  </si>
  <si>
    <t>interne verbrandingsmotor</t>
  </si>
  <si>
    <t>WKK interne verbrandinsgmotor (gas)</t>
  </si>
  <si>
    <t>PBE</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</si>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</sst>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94BE388A-68B6-4BCC-A661-CFB2A0C9655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136098.85905926477</c:v>
                </c:pt>
                <c:pt idx="1">
                  <c:v>24917.760090157812</c:v>
                </c:pt>
                <c:pt idx="2">
                  <c:v>981.04700000000003</c:v>
                </c:pt>
                <c:pt idx="3">
                  <c:v>6705.6047261373988</c:v>
                </c:pt>
                <c:pt idx="4">
                  <c:v>43067.405485426811</c:v>
                </c:pt>
                <c:pt idx="5">
                  <c:v>95476.656211322363</c:v>
                </c:pt>
                <c:pt idx="6">
                  <c:v>1097.720250135385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136098.85905926477</c:v>
                </c:pt>
                <c:pt idx="1">
                  <c:v>24917.760090157812</c:v>
                </c:pt>
                <c:pt idx="2">
                  <c:v>981.04700000000003</c:v>
                </c:pt>
                <c:pt idx="3">
                  <c:v>6705.6047261373988</c:v>
                </c:pt>
                <c:pt idx="4">
                  <c:v>43067.405485426811</c:v>
                </c:pt>
                <c:pt idx="5">
                  <c:v>95476.656211322363</c:v>
                </c:pt>
                <c:pt idx="6">
                  <c:v>1097.720250135385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29383.233456767564</c:v>
                </c:pt>
                <c:pt idx="2">
                  <c:v>5074.2717320482852</c:v>
                </c:pt>
                <c:pt idx="3">
                  <c:v>206.20030139078705</c:v>
                </c:pt>
                <c:pt idx="4">
                  <c:v>1726.4012719877894</c:v>
                </c:pt>
                <c:pt idx="5">
                  <c:v>9200.0926442664804</c:v>
                </c:pt>
                <c:pt idx="6">
                  <c:v>23888.1916766184</c:v>
                </c:pt>
                <c:pt idx="7">
                  <c:v>276.66962931387161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29383.233456767564</c:v>
                </c:pt>
                <c:pt idx="2">
                  <c:v>5074.2717320482852</c:v>
                </c:pt>
                <c:pt idx="3">
                  <c:v>206.20030139078705</c:v>
                </c:pt>
                <c:pt idx="4">
                  <c:v>1726.4012719877894</c:v>
                </c:pt>
                <c:pt idx="5">
                  <c:v>9200.0926442664804</c:v>
                </c:pt>
                <c:pt idx="6">
                  <c:v>23888.1916766184</c:v>
                </c:pt>
                <c:pt idx="7">
                  <c:v>276.66962931387161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24059</v>
      </c>
      <c r="B6" s="380"/>
      <c r="C6" s="381"/>
    </row>
    <row r="7" spans="1:7" s="378" customFormat="1" ht="15.75" customHeight="1">
      <c r="A7" s="382" t="str">
        <f>txtMunicipality</f>
        <v>LANDEN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0.21018391717296628</v>
      </c>
      <c r="C17" s="488">
        <f ca="1">'EF ele_warmte'!B22</f>
        <v>0.23761629374341836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0.21018391717296628</v>
      </c>
      <c r="C29" s="489">
        <f ca="1">'EF ele_warmte'!B22</f>
        <v>0.23761629374341836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6691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3996.68</v>
      </c>
      <c r="C14" s="322"/>
      <c r="D14" s="322"/>
      <c r="E14" s="322"/>
      <c r="F14" s="322"/>
    </row>
    <row r="15" spans="1:6">
      <c r="A15" s="1248" t="s">
        <v>177</v>
      </c>
      <c r="B15" s="1249">
        <v>5</v>
      </c>
      <c r="C15" s="322"/>
      <c r="D15" s="322"/>
      <c r="E15" s="322"/>
      <c r="F15" s="322"/>
    </row>
    <row r="16" spans="1:6">
      <c r="A16" s="1248" t="s">
        <v>6</v>
      </c>
      <c r="B16" s="1249">
        <v>146</v>
      </c>
      <c r="C16" s="322"/>
      <c r="D16" s="322"/>
      <c r="E16" s="322"/>
      <c r="F16" s="322"/>
    </row>
    <row r="17" spans="1:6">
      <c r="A17" s="1248" t="s">
        <v>7</v>
      </c>
      <c r="B17" s="1249">
        <v>270</v>
      </c>
      <c r="C17" s="322"/>
      <c r="D17" s="322"/>
      <c r="E17" s="322"/>
      <c r="F17" s="322"/>
    </row>
    <row r="18" spans="1:6">
      <c r="A18" s="1248" t="s">
        <v>8</v>
      </c>
      <c r="B18" s="1249">
        <v>293</v>
      </c>
      <c r="C18" s="322"/>
      <c r="D18" s="322"/>
      <c r="E18" s="322"/>
      <c r="F18" s="322"/>
    </row>
    <row r="19" spans="1:6">
      <c r="A19" s="1248" t="s">
        <v>9</v>
      </c>
      <c r="B19" s="1249">
        <v>246</v>
      </c>
      <c r="C19" s="322"/>
      <c r="D19" s="322"/>
      <c r="E19" s="322"/>
      <c r="F19" s="322"/>
    </row>
    <row r="20" spans="1:6">
      <c r="A20" s="1248" t="s">
        <v>10</v>
      </c>
      <c r="B20" s="1249">
        <v>179</v>
      </c>
      <c r="C20" s="322"/>
      <c r="D20" s="322"/>
      <c r="E20" s="322"/>
      <c r="F20" s="322"/>
    </row>
    <row r="21" spans="1:6">
      <c r="A21" s="1248" t="s">
        <v>11</v>
      </c>
      <c r="B21" s="1249">
        <v>534</v>
      </c>
      <c r="C21" s="322"/>
      <c r="D21" s="322"/>
      <c r="E21" s="322"/>
      <c r="F21" s="322"/>
    </row>
    <row r="22" spans="1:6">
      <c r="A22" s="1248" t="s">
        <v>12</v>
      </c>
      <c r="B22" s="1249">
        <v>2327</v>
      </c>
      <c r="C22" s="322"/>
      <c r="D22" s="322"/>
      <c r="E22" s="322"/>
      <c r="F22" s="322"/>
    </row>
    <row r="23" spans="1:6">
      <c r="A23" s="1248" t="s">
        <v>13</v>
      </c>
      <c r="B23" s="1249">
        <v>36</v>
      </c>
      <c r="C23" s="322"/>
      <c r="D23" s="322"/>
      <c r="E23" s="322"/>
      <c r="F23" s="322"/>
    </row>
    <row r="24" spans="1:6">
      <c r="A24" s="1248" t="s">
        <v>14</v>
      </c>
      <c r="B24" s="1249">
        <v>0</v>
      </c>
      <c r="C24" s="322"/>
      <c r="D24" s="322"/>
      <c r="E24" s="322"/>
      <c r="F24" s="322"/>
    </row>
    <row r="25" spans="1:6">
      <c r="A25" s="1248" t="s">
        <v>15</v>
      </c>
      <c r="B25" s="1249">
        <v>207</v>
      </c>
      <c r="C25" s="322"/>
      <c r="D25" s="322"/>
      <c r="E25" s="322"/>
      <c r="F25" s="322"/>
    </row>
    <row r="26" spans="1:6">
      <c r="A26" s="1248" t="s">
        <v>16</v>
      </c>
      <c r="B26" s="1249">
        <v>101</v>
      </c>
      <c r="C26" s="322"/>
      <c r="D26" s="322"/>
      <c r="E26" s="322"/>
      <c r="F26" s="322"/>
    </row>
    <row r="27" spans="1:6">
      <c r="A27" s="1248" t="s">
        <v>17</v>
      </c>
      <c r="B27" s="1249">
        <v>3</v>
      </c>
      <c r="C27" s="322"/>
      <c r="D27" s="322"/>
      <c r="E27" s="322"/>
      <c r="F27" s="322"/>
    </row>
    <row r="28" spans="1:6">
      <c r="A28" s="1248" t="s">
        <v>18</v>
      </c>
      <c r="B28" s="1250">
        <v>10750</v>
      </c>
      <c r="C28" s="322"/>
      <c r="D28" s="322"/>
      <c r="E28" s="322"/>
      <c r="F28" s="322"/>
    </row>
    <row r="29" spans="1:6">
      <c r="A29" s="1248" t="s">
        <v>691</v>
      </c>
      <c r="B29" s="1250">
        <v>41</v>
      </c>
      <c r="C29" s="322"/>
      <c r="D29" s="322"/>
      <c r="E29" s="322"/>
      <c r="F29" s="322"/>
    </row>
    <row r="30" spans="1:6">
      <c r="A30" s="1243" t="s">
        <v>692</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62379</v>
      </c>
    </row>
    <row r="39" spans="1:6">
      <c r="A39" s="1248" t="s">
        <v>29</v>
      </c>
      <c r="B39" s="1248" t="s">
        <v>30</v>
      </c>
      <c r="C39" s="1249">
        <v>2267</v>
      </c>
      <c r="D39" s="1249">
        <v>34872623.350000001</v>
      </c>
      <c r="E39" s="1249">
        <v>6784</v>
      </c>
      <c r="F39" s="1249">
        <v>24335561.772999998</v>
      </c>
    </row>
    <row r="40" spans="1:6">
      <c r="A40" s="1248" t="s">
        <v>29</v>
      </c>
      <c r="B40" s="1248" t="s">
        <v>28</v>
      </c>
      <c r="C40" s="1249">
        <v>0</v>
      </c>
      <c r="D40" s="1249">
        <v>0</v>
      </c>
      <c r="E40" s="1249">
        <v>0</v>
      </c>
      <c r="F40" s="1249">
        <v>0</v>
      </c>
    </row>
    <row r="41" spans="1:6">
      <c r="A41" s="1248" t="s">
        <v>31</v>
      </c>
      <c r="B41" s="1248" t="s">
        <v>32</v>
      </c>
      <c r="C41" s="1249">
        <v>26</v>
      </c>
      <c r="D41" s="1249">
        <v>674394.6</v>
      </c>
      <c r="E41" s="1249">
        <v>71</v>
      </c>
      <c r="F41" s="1249">
        <v>922732.45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18258946</v>
      </c>
      <c r="E44" s="1249">
        <v>20</v>
      </c>
      <c r="F44" s="1249">
        <v>16286178.15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69209</v>
      </c>
    </row>
    <row r="48" spans="1:6">
      <c r="A48" s="1248" t="s">
        <v>31</v>
      </c>
      <c r="B48" s="1248" t="s">
        <v>28</v>
      </c>
      <c r="C48" s="1249">
        <v>5</v>
      </c>
      <c r="D48" s="1249">
        <v>3318879</v>
      </c>
      <c r="E48" s="1249">
        <v>7</v>
      </c>
      <c r="F48" s="1249">
        <v>3506118</v>
      </c>
    </row>
    <row r="49" spans="1:6">
      <c r="A49" s="1248" t="s">
        <v>31</v>
      </c>
      <c r="B49" s="1248" t="s">
        <v>39</v>
      </c>
      <c r="C49" s="1249">
        <v>0</v>
      </c>
      <c r="D49" s="1249">
        <v>0</v>
      </c>
      <c r="E49" s="1249">
        <v>0</v>
      </c>
      <c r="F49" s="1249">
        <v>0</v>
      </c>
    </row>
    <row r="50" spans="1:6">
      <c r="A50" s="1248" t="s">
        <v>31</v>
      </c>
      <c r="B50" s="1248" t="s">
        <v>40</v>
      </c>
      <c r="C50" s="1249">
        <v>4</v>
      </c>
      <c r="D50" s="1249">
        <v>49926</v>
      </c>
      <c r="E50" s="1249">
        <v>14</v>
      </c>
      <c r="F50" s="1249">
        <v>256327.05</v>
      </c>
    </row>
    <row r="51" spans="1:6">
      <c r="A51" s="1248" t="s">
        <v>41</v>
      </c>
      <c r="B51" s="1248" t="s">
        <v>42</v>
      </c>
      <c r="C51" s="1249">
        <v>13</v>
      </c>
      <c r="D51" s="1249">
        <v>317608</v>
      </c>
      <c r="E51" s="1249">
        <v>74</v>
      </c>
      <c r="F51" s="1249">
        <v>1287781.3</v>
      </c>
    </row>
    <row r="52" spans="1:6">
      <c r="A52" s="1248" t="s">
        <v>41</v>
      </c>
      <c r="B52" s="1248" t="s">
        <v>28</v>
      </c>
      <c r="C52" s="1249">
        <v>0</v>
      </c>
      <c r="D52" s="1249">
        <v>0</v>
      </c>
      <c r="E52" s="1249">
        <v>0</v>
      </c>
      <c r="F52" s="1249">
        <v>0</v>
      </c>
    </row>
    <row r="53" spans="1:6">
      <c r="A53" s="1248" t="s">
        <v>43</v>
      </c>
      <c r="B53" s="1248" t="s">
        <v>44</v>
      </c>
      <c r="C53" s="1249">
        <v>26</v>
      </c>
      <c r="D53" s="1249">
        <v>1369938.3</v>
      </c>
      <c r="E53" s="1249">
        <v>121</v>
      </c>
      <c r="F53" s="1249">
        <v>875264.98800000001</v>
      </c>
    </row>
    <row r="54" spans="1:6">
      <c r="A54" s="1248" t="s">
        <v>45</v>
      </c>
      <c r="B54" s="1248" t="s">
        <v>46</v>
      </c>
      <c r="C54" s="1249">
        <v>0</v>
      </c>
      <c r="D54" s="1249">
        <v>0</v>
      </c>
      <c r="E54" s="1249">
        <v>1</v>
      </c>
      <c r="F54" s="1249">
        <v>981047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464233</v>
      </c>
      <c r="E57" s="1249">
        <v>74</v>
      </c>
      <c r="F57" s="1249">
        <v>2019869.85</v>
      </c>
    </row>
    <row r="58" spans="1:6">
      <c r="A58" s="1248" t="s">
        <v>48</v>
      </c>
      <c r="B58" s="1248" t="s">
        <v>50</v>
      </c>
      <c r="C58" s="1249">
        <v>16</v>
      </c>
      <c r="D58" s="1249">
        <v>1388537</v>
      </c>
      <c r="E58" s="1249">
        <v>36</v>
      </c>
      <c r="F58" s="1249">
        <v>571581</v>
      </c>
    </row>
    <row r="59" spans="1:6">
      <c r="A59" s="1248" t="s">
        <v>48</v>
      </c>
      <c r="B59" s="1248" t="s">
        <v>51</v>
      </c>
      <c r="C59" s="1249">
        <v>47</v>
      </c>
      <c r="D59" s="1249">
        <v>8295658.5499999998</v>
      </c>
      <c r="E59" s="1249">
        <v>143</v>
      </c>
      <c r="F59" s="1249">
        <v>3623383.15</v>
      </c>
    </row>
    <row r="60" spans="1:6">
      <c r="A60" s="1248" t="s">
        <v>48</v>
      </c>
      <c r="B60" s="1248" t="s">
        <v>52</v>
      </c>
      <c r="C60" s="1249">
        <v>29</v>
      </c>
      <c r="D60" s="1249">
        <v>1137282</v>
      </c>
      <c r="E60" s="1249">
        <v>52</v>
      </c>
      <c r="F60" s="1249">
        <v>1041007</v>
      </c>
    </row>
    <row r="61" spans="1:6">
      <c r="A61" s="1248" t="s">
        <v>48</v>
      </c>
      <c r="B61" s="1248" t="s">
        <v>53</v>
      </c>
      <c r="C61" s="1249">
        <v>59</v>
      </c>
      <c r="D61" s="1249">
        <v>1790743.9</v>
      </c>
      <c r="E61" s="1249">
        <v>225</v>
      </c>
      <c r="F61" s="1249">
        <v>2654781.75</v>
      </c>
    </row>
    <row r="62" spans="1:6">
      <c r="A62" s="1248" t="s">
        <v>48</v>
      </c>
      <c r="B62" s="1248" t="s">
        <v>54</v>
      </c>
      <c r="C62" s="1249">
        <v>0</v>
      </c>
      <c r="D62" s="1249">
        <v>0</v>
      </c>
      <c r="E62" s="1249">
        <v>4</v>
      </c>
      <c r="F62" s="1249">
        <v>33464</v>
      </c>
    </row>
    <row r="63" spans="1:6">
      <c r="A63" s="1248" t="s">
        <v>48</v>
      </c>
      <c r="B63" s="1248" t="s">
        <v>28</v>
      </c>
      <c r="C63" s="1249">
        <v>1</v>
      </c>
      <c r="D63" s="1249">
        <v>22609</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192419</v>
      </c>
      <c r="E65" s="1249">
        <v>3</v>
      </c>
      <c r="F65" s="1249">
        <v>269326</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80247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37299216</v>
      </c>
      <c r="E73" s="439"/>
      <c r="F73" s="322"/>
    </row>
    <row r="74" spans="1:6">
      <c r="A74" s="1248" t="s">
        <v>63</v>
      </c>
      <c r="B74" s="1248" t="s">
        <v>617</v>
      </c>
      <c r="C74" s="1261" t="s">
        <v>619</v>
      </c>
      <c r="D74" s="1249">
        <v>2063828.5</v>
      </c>
      <c r="E74" s="439"/>
      <c r="F74" s="322"/>
    </row>
    <row r="75" spans="1:6">
      <c r="A75" s="1248" t="s">
        <v>64</v>
      </c>
      <c r="B75" s="1248" t="s">
        <v>616</v>
      </c>
      <c r="C75" s="1261" t="s">
        <v>620</v>
      </c>
      <c r="D75" s="1249">
        <v>24026326</v>
      </c>
      <c r="E75" s="439"/>
      <c r="F75" s="322"/>
    </row>
    <row r="76" spans="1:6">
      <c r="A76" s="1248" t="s">
        <v>64</v>
      </c>
      <c r="B76" s="1248" t="s">
        <v>617</v>
      </c>
      <c r="C76" s="1261" t="s">
        <v>621</v>
      </c>
      <c r="D76" s="1249">
        <v>443985.5</v>
      </c>
      <c r="E76" s="439"/>
      <c r="F76" s="322"/>
    </row>
    <row r="77" spans="1:6">
      <c r="A77" s="1248" t="s">
        <v>65</v>
      </c>
      <c r="B77" s="1248" t="s">
        <v>616</v>
      </c>
      <c r="C77" s="1261" t="s">
        <v>622</v>
      </c>
      <c r="D77" s="1249">
        <v>42031173</v>
      </c>
      <c r="E77" s="439"/>
      <c r="F77" s="322"/>
    </row>
    <row r="78" spans="1:6">
      <c r="A78" s="1243" t="s">
        <v>65</v>
      </c>
      <c r="B78" s="1243" t="s">
        <v>617</v>
      </c>
      <c r="C78" s="1243" t="s">
        <v>623</v>
      </c>
      <c r="D78" s="1251">
        <v>5635761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298565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2934.2387695541538</v>
      </c>
      <c r="C91" s="322"/>
      <c r="D91" s="322"/>
      <c r="E91" s="322"/>
      <c r="F91" s="322"/>
    </row>
    <row r="92" spans="1:6">
      <c r="A92" s="1243" t="s">
        <v>68</v>
      </c>
      <c r="B92" s="1244">
        <v>527.65718456443221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430</v>
      </c>
      <c r="C97" s="322"/>
      <c r="D97" s="322"/>
      <c r="E97" s="322"/>
      <c r="F97" s="322"/>
    </row>
    <row r="98" spans="1:6">
      <c r="A98" s="1248" t="s">
        <v>71</v>
      </c>
      <c r="B98" s="1249">
        <v>3</v>
      </c>
      <c r="C98" s="322"/>
      <c r="D98" s="322"/>
      <c r="E98" s="322"/>
      <c r="F98" s="322"/>
    </row>
    <row r="99" spans="1:6">
      <c r="A99" s="1248" t="s">
        <v>72</v>
      </c>
      <c r="B99" s="1249">
        <v>68</v>
      </c>
      <c r="C99" s="322"/>
      <c r="D99" s="322"/>
      <c r="E99" s="322"/>
      <c r="F99" s="322"/>
    </row>
    <row r="100" spans="1:6">
      <c r="A100" s="1248" t="s">
        <v>73</v>
      </c>
      <c r="B100" s="1249">
        <v>273</v>
      </c>
      <c r="C100" s="322"/>
      <c r="D100" s="322"/>
      <c r="E100" s="322"/>
      <c r="F100" s="322"/>
    </row>
    <row r="101" spans="1:6">
      <c r="A101" s="1248" t="s">
        <v>74</v>
      </c>
      <c r="B101" s="1249">
        <v>37</v>
      </c>
      <c r="C101" s="322"/>
      <c r="D101" s="322"/>
      <c r="E101" s="322"/>
      <c r="F101" s="322"/>
    </row>
    <row r="102" spans="1:6">
      <c r="A102" s="1248" t="s">
        <v>75</v>
      </c>
      <c r="B102" s="1249">
        <v>74</v>
      </c>
      <c r="C102" s="322"/>
      <c r="D102" s="322"/>
      <c r="E102" s="322"/>
      <c r="F102" s="322"/>
    </row>
    <row r="103" spans="1:6">
      <c r="A103" s="1248" t="s">
        <v>76</v>
      </c>
      <c r="B103" s="1249">
        <v>152</v>
      </c>
      <c r="C103" s="322"/>
      <c r="D103" s="322"/>
      <c r="E103" s="322"/>
      <c r="F103" s="322"/>
    </row>
    <row r="104" spans="1:6">
      <c r="A104" s="1248" t="s">
        <v>77</v>
      </c>
      <c r="B104" s="1249">
        <v>4697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20</v>
      </c>
      <c r="C123" s="1249">
        <v>21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92</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23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65122.594559661025</v>
      </c>
      <c r="C3" s="43" t="s">
        <v>163</v>
      </c>
      <c r="D3" s="43"/>
      <c r="E3" s="153"/>
      <c r="F3" s="43"/>
      <c r="G3" s="43"/>
      <c r="H3" s="43"/>
      <c r="I3" s="43"/>
      <c r="J3" s="43"/>
      <c r="K3" s="96"/>
    </row>
    <row r="4" spans="1:11">
      <c r="A4" s="348" t="s">
        <v>164</v>
      </c>
      <c r="B4" s="49">
        <f>IF(ISERROR('SEAP template'!B78+'SEAP template'!C78),0,'SEAP template'!B78+'SEAP template'!C78)</f>
        <v>7115.3959541185868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868.13112919157913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0.21018391717296628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1240.1951256346761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5219.3185328185336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0.23761629374341836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981.04700000000003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981.04700000000003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0.21018391717296628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206.20030139078705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24335.561772999998</v>
      </c>
      <c r="C5" s="17">
        <f>IF(ISERROR('Eigen informatie GS &amp; warmtenet'!B57),0,'Eigen informatie GS &amp; warmtenet'!B57)</f>
        <v>0</v>
      </c>
      <c r="D5" s="30">
        <f>(SUM(HH_hh_gas_kWh,HH_rest_gas_kWh)/1000)*0.902</f>
        <v>31455.106261700003</v>
      </c>
      <c r="E5" s="17">
        <f>B32*B41</f>
        <v>2678.4719995591558</v>
      </c>
      <c r="F5" s="17">
        <f>B36*B45</f>
        <v>62084.897055172361</v>
      </c>
      <c r="G5" s="18"/>
      <c r="H5" s="17"/>
      <c r="I5" s="17"/>
      <c r="J5" s="17">
        <f>B35*B44+C35*C44</f>
        <v>319.06168280705987</v>
      </c>
      <c r="K5" s="17"/>
      <c r="L5" s="17"/>
      <c r="M5" s="17"/>
      <c r="N5" s="17">
        <f>B34*B43+C34*C43</f>
        <v>11294.998184138698</v>
      </c>
      <c r="O5" s="17">
        <f>B52*B53*B54</f>
        <v>176.65666666666667</v>
      </c>
      <c r="P5" s="17">
        <f>B60*B61*B62/1000-B60*B61*B62/1000/B63</f>
        <v>819.86666666666667</v>
      </c>
    </row>
    <row r="6" spans="1:16">
      <c r="A6" s="16" t="s">
        <v>582</v>
      </c>
      <c r="B6" s="716">
        <f>kWh_PV_kleiner_dan_10kW</f>
        <v>2934.2387695541538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27269.800542554152</v>
      </c>
      <c r="C8" s="21">
        <f>C5</f>
        <v>0</v>
      </c>
      <c r="D8" s="21">
        <f>D5</f>
        <v>31455.106261700003</v>
      </c>
      <c r="E8" s="21">
        <f>E5</f>
        <v>2678.4719995591558</v>
      </c>
      <c r="F8" s="21">
        <f>F5</f>
        <v>62084.897055172361</v>
      </c>
      <c r="G8" s="21"/>
      <c r="H8" s="21"/>
      <c r="I8" s="21"/>
      <c r="J8" s="21">
        <f>J5</f>
        <v>319.06168280705987</v>
      </c>
      <c r="K8" s="21"/>
      <c r="L8" s="21">
        <f>L5</f>
        <v>0</v>
      </c>
      <c r="M8" s="21">
        <f>M5</f>
        <v>0</v>
      </c>
      <c r="N8" s="21">
        <f>N5</f>
        <v>11294.998184138698</v>
      </c>
      <c r="O8" s="21">
        <f>O5</f>
        <v>176.65666666666667</v>
      </c>
      <c r="P8" s="21">
        <f>P5</f>
        <v>819.86666666666667</v>
      </c>
    </row>
    <row r="9" spans="1:16">
      <c r="B9" s="19"/>
      <c r="C9" s="19"/>
      <c r="D9" s="253"/>
      <c r="E9" s="19"/>
      <c r="F9" s="19"/>
      <c r="G9" s="19"/>
      <c r="H9" s="19"/>
      <c r="I9" s="19"/>
      <c r="J9" s="19"/>
      <c r="K9" s="19"/>
      <c r="L9" s="19"/>
      <c r="M9" s="19"/>
      <c r="N9" s="19"/>
      <c r="O9" s="19"/>
      <c r="P9" s="19"/>
    </row>
    <row r="10" spans="1:16">
      <c r="A10" s="24" t="s">
        <v>207</v>
      </c>
      <c r="B10" s="25">
        <f ca="1">'EF ele_warmte'!B12</f>
        <v>0.21018391717296628</v>
      </c>
      <c r="C10" s="25">
        <f ca="1">'EF ele_warmte'!B22</f>
        <v>0.23761629374341836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5731.6734985595131</v>
      </c>
      <c r="C12" s="23">
        <f ca="1">C10*C8</f>
        <v>0</v>
      </c>
      <c r="D12" s="23">
        <f>D8*D10</f>
        <v>6353.9314648634008</v>
      </c>
      <c r="E12" s="23">
        <f>E10*E8</f>
        <v>608.01314389992842</v>
      </c>
      <c r="F12" s="23">
        <f>F10*F8</f>
        <v>16576.667513731023</v>
      </c>
      <c r="G12" s="23"/>
      <c r="H12" s="23"/>
      <c r="I12" s="23"/>
      <c r="J12" s="23">
        <f>J10*J8</f>
        <v>112.94783571369919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6691</v>
      </c>
      <c r="C26" s="36"/>
      <c r="D26" s="224"/>
    </row>
    <row r="27" spans="1:5" s="15" customFormat="1">
      <c r="A27" s="226" t="s">
        <v>736</v>
      </c>
      <c r="B27" s="37">
        <f>SUM(HH_hh_gas_aantal,HH_rest_gas_aantal)</f>
        <v>2267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2153.65</v>
      </c>
      <c r="C31" s="34" t="s">
        <v>104</v>
      </c>
      <c r="D31" s="170"/>
    </row>
    <row r="32" spans="1:5">
      <c r="A32" s="167" t="s">
        <v>72</v>
      </c>
      <c r="B32" s="33">
        <f>IF((B21*($B$26-($B$27-0.05*$B$27)-$B$60))&lt;0,0,B21*($B$26-($B$27-0.05*$B$27)-$B$60))</f>
        <v>49.495526189288597</v>
      </c>
      <c r="C32" s="34" t="s">
        <v>104</v>
      </c>
      <c r="D32" s="170"/>
    </row>
    <row r="33" spans="1:6">
      <c r="A33" s="167" t="s">
        <v>73</v>
      </c>
      <c r="B33" s="33">
        <f>IF((B22*($B$26-($B$27-0.05*$B$27)-$B$60))&lt;0,0,B22*($B$26-($B$27-0.05*$B$27)-$B$60))</f>
        <v>1029.0535542978698</v>
      </c>
      <c r="C33" s="34" t="s">
        <v>104</v>
      </c>
      <c r="D33" s="170"/>
    </row>
    <row r="34" spans="1:6">
      <c r="A34" s="167" t="s">
        <v>74</v>
      </c>
      <c r="B34" s="33">
        <f>IF((B24*($B$26-($B$27-0.05*$B$27)-$B$60))&lt;0,0,B24*($B$26-($B$27-0.05*$B$27)-$B$60))</f>
        <v>401.63607439617101</v>
      </c>
      <c r="C34" s="33">
        <f>B26*C24</f>
        <v>1185.1409579241233</v>
      </c>
      <c r="D34" s="229"/>
    </row>
    <row r="35" spans="1:6">
      <c r="A35" s="167" t="s">
        <v>76</v>
      </c>
      <c r="B35" s="33">
        <f>IF((B19*($B$26-($B$27-0.05*$B$27)-$B$60))&lt;0,0,B19*($B$26-($B$27-0.05*$B$27)-$B$60))</f>
        <v>37.462776189169972</v>
      </c>
      <c r="C35" s="33">
        <f>B35/2</f>
        <v>18.731388094584986</v>
      </c>
      <c r="D35" s="229"/>
    </row>
    <row r="36" spans="1:6">
      <c r="A36" s="167" t="s">
        <v>77</v>
      </c>
      <c r="B36" s="33">
        <f>IF((B18*($B$26-($B$27-0.05*$B$27)-$B$60))&lt;0,0,B18*($B$26-($B$27-0.05*$B$27)-$B$60))</f>
        <v>2976.7020689275009</v>
      </c>
      <c r="C36" s="34" t="s">
        <v>104</v>
      </c>
      <c r="D36" s="170"/>
    </row>
    <row r="37" spans="1:6">
      <c r="A37" s="167" t="s">
        <v>78</v>
      </c>
      <c r="B37" s="33">
        <f>B60</f>
        <v>43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9944.0867500000004</v>
      </c>
      <c r="C5" s="17">
        <f>IF(ISERROR('Eigen informatie GS &amp; warmtenet'!B58),0,'Eigen informatie GS &amp; warmtenet'!B58)</f>
        <v>0</v>
      </c>
      <c r="D5" s="30">
        <f>SUM(D6:D12)</f>
        <v>11815.355231900001</v>
      </c>
      <c r="E5" s="17">
        <f>SUM(E6:E12)</f>
        <v>144.6842437593389</v>
      </c>
      <c r="F5" s="17">
        <f>SUM(F6:F12)</f>
        <v>2114.5787815245831</v>
      </c>
      <c r="G5" s="18"/>
      <c r="H5" s="17"/>
      <c r="I5" s="17"/>
      <c r="J5" s="17">
        <f>SUM(J6:J12)</f>
        <v>2.2174288005478354E-2</v>
      </c>
      <c r="K5" s="17"/>
      <c r="L5" s="17"/>
      <c r="M5" s="17"/>
      <c r="N5" s="17">
        <f>SUM(N6:N12)</f>
        <v>882.26353931651408</v>
      </c>
      <c r="O5" s="17">
        <f>B38*B39*B40</f>
        <v>0</v>
      </c>
      <c r="P5" s="17">
        <f>B46*B47*B48/1000-B46*B47*B48/1000/B49</f>
        <v>19.066666666666666</v>
      </c>
      <c r="R5" s="32"/>
    </row>
    <row r="6" spans="1:18">
      <c r="A6" s="32" t="s">
        <v>53</v>
      </c>
      <c r="B6" s="37">
        <f>B26</f>
        <v>2654.7817500000001</v>
      </c>
      <c r="C6" s="33"/>
      <c r="D6" s="37">
        <f>IF(ISERROR(TER_kantoor_gas_kWh/1000),0,TER_kantoor_gas_kWh/1000)*0.902</f>
        <v>1615.2509978000001</v>
      </c>
      <c r="E6" s="33">
        <f>$C$26*'E Balans VL '!I12/100/3.6*1000000</f>
        <v>-2.1799213793174623E-4</v>
      </c>
      <c r="F6" s="33">
        <f>$C$26*('E Balans VL '!L12+'E Balans VL '!N12)/100/3.6*1000000</f>
        <v>336.4441561383091</v>
      </c>
      <c r="G6" s="34"/>
      <c r="H6" s="33"/>
      <c r="I6" s="33"/>
      <c r="J6" s="33">
        <f>$C$26*('E Balans VL '!D12+'E Balans VL '!E12)/100/3.6*1000000</f>
        <v>0</v>
      </c>
      <c r="K6" s="33"/>
      <c r="L6" s="33"/>
      <c r="M6" s="33"/>
      <c r="N6" s="33">
        <f>$C$26*'E Balans VL '!Y12/100/3.6*1000000</f>
        <v>3.2562468447015798</v>
      </c>
      <c r="O6" s="33"/>
      <c r="P6" s="33"/>
      <c r="R6" s="32"/>
    </row>
    <row r="7" spans="1:18">
      <c r="A7" s="32" t="s">
        <v>52</v>
      </c>
      <c r="B7" s="37">
        <f t="shared" ref="B7:B12" si="0">B27</f>
        <v>1041.0070000000001</v>
      </c>
      <c r="C7" s="33"/>
      <c r="D7" s="37">
        <f>IF(ISERROR(TER_horeca_gas_kWh/1000),0,TER_horeca_gas_kWh/1000)*0.902</f>
        <v>1025.828364</v>
      </c>
      <c r="E7" s="33">
        <f>$C$27*'E Balans VL '!I9/100/3.6*1000000</f>
        <v>11.982500390795954</v>
      </c>
      <c r="F7" s="33">
        <f>$C$27*('E Balans VL '!L9+'E Balans VL '!N9)/100/3.6*1000000</f>
        <v>134.22102665389983</v>
      </c>
      <c r="G7" s="34"/>
      <c r="H7" s="33"/>
      <c r="I7" s="33"/>
      <c r="J7" s="33">
        <f>$C$27*('E Balans VL '!D9+'E Balans VL '!E9)/100/3.6*1000000</f>
        <v>0</v>
      </c>
      <c r="K7" s="33"/>
      <c r="L7" s="33"/>
      <c r="M7" s="33"/>
      <c r="N7" s="33">
        <f>$C$27*'E Balans VL '!Y9/100/3.6*1000000</f>
        <v>10.987590327298323</v>
      </c>
      <c r="O7" s="33"/>
      <c r="P7" s="33"/>
      <c r="R7" s="32"/>
    </row>
    <row r="8" spans="1:18">
      <c r="A8" s="6" t="s">
        <v>51</v>
      </c>
      <c r="B8" s="37">
        <f t="shared" si="0"/>
        <v>3623.3831500000001</v>
      </c>
      <c r="C8" s="33"/>
      <c r="D8" s="37">
        <f>IF(ISERROR(TER_handel_gas_kWh/1000),0,TER_handel_gas_kWh/1000)*0.902</f>
        <v>7482.6840121000005</v>
      </c>
      <c r="E8" s="33">
        <f>$C$28*'E Balans VL '!I13/100/3.6*1000000</f>
        <v>102.23159961593035</v>
      </c>
      <c r="F8" s="33">
        <f>$C$28*('E Balans VL '!L13+'E Balans VL '!N13)/100/3.6*1000000</f>
        <v>364.4346638968284</v>
      </c>
      <c r="G8" s="34"/>
      <c r="H8" s="33"/>
      <c r="I8" s="33"/>
      <c r="J8" s="33">
        <f>$C$28*('E Balans VL '!D13+'E Balans VL '!E13)/100/3.6*1000000</f>
        <v>0</v>
      </c>
      <c r="K8" s="33"/>
      <c r="L8" s="33"/>
      <c r="M8" s="33"/>
      <c r="N8" s="33">
        <f>$C$28*'E Balans VL '!Y13/100/3.6*1000000</f>
        <v>5.001674578728923</v>
      </c>
      <c r="O8" s="33"/>
      <c r="P8" s="33"/>
      <c r="R8" s="32"/>
    </row>
    <row r="9" spans="1:18">
      <c r="A9" s="32" t="s">
        <v>50</v>
      </c>
      <c r="B9" s="37">
        <f t="shared" si="0"/>
        <v>571.58100000000002</v>
      </c>
      <c r="C9" s="33"/>
      <c r="D9" s="37">
        <f>IF(ISERROR(TER_gezond_gas_kWh/1000),0,TER_gezond_gas_kWh/1000)*0.902</f>
        <v>1252.460374</v>
      </c>
      <c r="E9" s="33">
        <f>$C$29*'E Balans VL '!I10/100/3.6*1000000</f>
        <v>1.141842867585366</v>
      </c>
      <c r="F9" s="33">
        <f>$C$29*('E Balans VL '!L10+'E Balans VL '!N10)/100/3.6*1000000</f>
        <v>50.081960957463231</v>
      </c>
      <c r="G9" s="34"/>
      <c r="H9" s="33"/>
      <c r="I9" s="33"/>
      <c r="J9" s="33">
        <f>$C$29*('E Balans VL '!D10+'E Balans VL '!E10)/100/3.6*1000000</f>
        <v>0</v>
      </c>
      <c r="K9" s="33"/>
      <c r="L9" s="33"/>
      <c r="M9" s="33"/>
      <c r="N9" s="33">
        <f>$C$29*'E Balans VL '!Y10/100/3.6*1000000</f>
        <v>8.6459842284044335</v>
      </c>
      <c r="O9" s="33"/>
      <c r="P9" s="33"/>
      <c r="R9" s="32"/>
    </row>
    <row r="10" spans="1:18">
      <c r="A10" s="32" t="s">
        <v>49</v>
      </c>
      <c r="B10" s="37">
        <f t="shared" si="0"/>
        <v>2019.86985</v>
      </c>
      <c r="C10" s="33"/>
      <c r="D10" s="37">
        <f>IF(ISERROR(TER_ander_gas_kWh/1000),0,TER_ander_gas_kWh/1000)*0.902</f>
        <v>418.73816600000004</v>
      </c>
      <c r="E10" s="33">
        <f>$C$30*'E Balans VL '!I14/100/3.6*1000000</f>
        <v>28.455092028497816</v>
      </c>
      <c r="F10" s="33">
        <f>$C$30*('E Balans VL '!L14+'E Balans VL '!N14)/100/3.6*1000000</f>
        <v>1225.2789474778428</v>
      </c>
      <c r="G10" s="34"/>
      <c r="H10" s="33"/>
      <c r="I10" s="33"/>
      <c r="J10" s="33">
        <f>$C$30*('E Balans VL '!D14+'E Balans VL '!E14)/100/3.6*1000000</f>
        <v>2.2174288005478354E-2</v>
      </c>
      <c r="K10" s="33"/>
      <c r="L10" s="33"/>
      <c r="M10" s="33"/>
      <c r="N10" s="33">
        <f>$C$30*'E Balans VL '!Y14/100/3.6*1000000</f>
        <v>854.26607272214665</v>
      </c>
      <c r="O10" s="33"/>
      <c r="P10" s="33"/>
      <c r="R10" s="32"/>
    </row>
    <row r="11" spans="1:18">
      <c r="A11" s="32" t="s">
        <v>54</v>
      </c>
      <c r="B11" s="37">
        <f t="shared" si="0"/>
        <v>33.463999999999999</v>
      </c>
      <c r="C11" s="33"/>
      <c r="D11" s="37">
        <f>IF(ISERROR(TER_onderwijs_gas_kWh/1000),0,TER_onderwijs_gas_kWh/1000)*0.902</f>
        <v>0</v>
      </c>
      <c r="E11" s="33">
        <f>$C$31*'E Balans VL '!I11/100/3.6*1000000</f>
        <v>0.87342684866735287</v>
      </c>
      <c r="F11" s="33">
        <f>$C$31*('E Balans VL '!L11+'E Balans VL '!N11)/100/3.6*1000000</f>
        <v>4.1180264002395308</v>
      </c>
      <c r="G11" s="34"/>
      <c r="H11" s="33"/>
      <c r="I11" s="33"/>
      <c r="J11" s="33">
        <f>$C$31*('E Balans VL '!D11+'E Balans VL '!E11)/100/3.6*1000000</f>
        <v>0</v>
      </c>
      <c r="K11" s="33"/>
      <c r="L11" s="33"/>
      <c r="M11" s="33"/>
      <c r="N11" s="33">
        <f>$C$31*'E Balans VL '!Y11/100/3.6*1000000</f>
        <v>0.10597061523411032</v>
      </c>
      <c r="O11" s="33"/>
      <c r="P11" s="33"/>
      <c r="R11" s="32"/>
    </row>
    <row r="12" spans="1:18">
      <c r="A12" s="32" t="s">
        <v>248</v>
      </c>
      <c r="B12" s="37">
        <f t="shared" si="0"/>
        <v>0</v>
      </c>
      <c r="C12" s="33"/>
      <c r="D12" s="37">
        <f>IF(ISERROR(TER_rest_gas_kWh/1000),0,TER_rest_gas_kWh/1000)*0.902</f>
        <v>20.393318000000001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energieproductie'!N39+'lokale energieproductie'!N32</f>
        <v>8.5</v>
      </c>
      <c r="C13" s="242">
        <f ca="1">'lokale energieproductie'!O39+'lokale energieproductie'!O32</f>
        <v>12.175675675675675</v>
      </c>
      <c r="D13" s="300">
        <f ca="1">('lokale energieproductie'!P32+'lokale energieproductie'!P39)*(-1)</f>
        <v>-22.972972972972972</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9952.5867500000004</v>
      </c>
      <c r="C16" s="21">
        <f t="shared" ca="1" si="1"/>
        <v>12.175675675675675</v>
      </c>
      <c r="D16" s="21">
        <f t="shared" ca="1" si="1"/>
        <v>11792.382258927028</v>
      </c>
      <c r="E16" s="21">
        <f t="shared" si="1"/>
        <v>144.6842437593389</v>
      </c>
      <c r="F16" s="21">
        <f t="shared" ca="1" si="1"/>
        <v>2114.5787815245831</v>
      </c>
      <c r="G16" s="21">
        <f t="shared" si="1"/>
        <v>0</v>
      </c>
      <c r="H16" s="21">
        <f t="shared" si="1"/>
        <v>0</v>
      </c>
      <c r="I16" s="21">
        <f t="shared" si="1"/>
        <v>0</v>
      </c>
      <c r="J16" s="21">
        <f t="shared" si="1"/>
        <v>2.2174288005478354E-2</v>
      </c>
      <c r="K16" s="21">
        <f t="shared" si="1"/>
        <v>0</v>
      </c>
      <c r="L16" s="21">
        <f t="shared" ca="1" si="1"/>
        <v>0</v>
      </c>
      <c r="M16" s="21">
        <f t="shared" si="1"/>
        <v>0</v>
      </c>
      <c r="N16" s="21">
        <f t="shared" ca="1" si="1"/>
        <v>882.26353931651408</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0.21018391717296628</v>
      </c>
      <c r="C18" s="25">
        <f ca="1">'EF ele_warmte'!B22</f>
        <v>0.23761629374341836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2091.8736691187619</v>
      </c>
      <c r="C20" s="23">
        <f t="shared" ref="C20:P20" ca="1" si="2">C16*C18</f>
        <v>2.893138927875945</v>
      </c>
      <c r="D20" s="23">
        <f t="shared" ca="1" si="2"/>
        <v>2382.0612163032597</v>
      </c>
      <c r="E20" s="23">
        <f t="shared" si="2"/>
        <v>32.843323333369931</v>
      </c>
      <c r="F20" s="23">
        <f t="shared" ca="1" si="2"/>
        <v>564.59253466706366</v>
      </c>
      <c r="G20" s="23">
        <f t="shared" si="2"/>
        <v>0</v>
      </c>
      <c r="H20" s="23">
        <f t="shared" si="2"/>
        <v>0</v>
      </c>
      <c r="I20" s="23">
        <f t="shared" si="2"/>
        <v>0</v>
      </c>
      <c r="J20" s="23">
        <f t="shared" si="2"/>
        <v>7.8496979539393365E-3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2654.7817500000001</v>
      </c>
      <c r="C26" s="39">
        <f>IF(ISERROR(B26*3.6/1000000/'E Balans VL '!Z12*100),0,B26*3.6/1000000/'E Balans VL '!Z12*100)</f>
        <v>7.1973414757103366E-2</v>
      </c>
      <c r="D26" s="232" t="s">
        <v>700</v>
      </c>
      <c r="F26" s="6"/>
    </row>
    <row r="27" spans="1:18">
      <c r="A27" s="227" t="s">
        <v>52</v>
      </c>
      <c r="B27" s="33">
        <f>IF(ISERROR(TER_horeca_ele_kWh/1000),0,TER_horeca_ele_kWh/1000)</f>
        <v>1041.0070000000001</v>
      </c>
      <c r="C27" s="39">
        <f>IF(ISERROR(B27*3.6/1000000/'E Balans VL '!Z9*100),0,B27*3.6/1000000/'E Balans VL '!Z9*100)</f>
        <v>8.0522983445977914E-2</v>
      </c>
      <c r="D27" s="232" t="s">
        <v>700</v>
      </c>
      <c r="F27" s="6"/>
    </row>
    <row r="28" spans="1:18">
      <c r="A28" s="167" t="s">
        <v>51</v>
      </c>
      <c r="B28" s="33">
        <f>IF(ISERROR(TER_handel_ele_kWh/1000),0,TER_handel_ele_kWh/1000)</f>
        <v>3623.3831500000001</v>
      </c>
      <c r="C28" s="39">
        <f>IF(ISERROR(B28*3.6/1000000/'E Balans VL '!Z13*100),0,B28*3.6/1000000/'E Balans VL '!Z13*100)</f>
        <v>0.10479761187686991</v>
      </c>
      <c r="D28" s="232" t="s">
        <v>700</v>
      </c>
      <c r="F28" s="6"/>
    </row>
    <row r="29" spans="1:18">
      <c r="A29" s="227" t="s">
        <v>50</v>
      </c>
      <c r="B29" s="33">
        <f>IF(ISERROR(TER_gezond_ele_kWh/1000),0,TER_gezond_ele_kWh/1000)</f>
        <v>571.58100000000002</v>
      </c>
      <c r="C29" s="39">
        <f>IF(ISERROR(B29*3.6/1000000/'E Balans VL '!Z10*100),0,B29*3.6/1000000/'E Balans VL '!Z10*100)</f>
        <v>5.8867237513358074E-2</v>
      </c>
      <c r="D29" s="232" t="s">
        <v>700</v>
      </c>
      <c r="F29" s="6"/>
    </row>
    <row r="30" spans="1:18">
      <c r="A30" s="227" t="s">
        <v>49</v>
      </c>
      <c r="B30" s="33">
        <f>IF(ISERROR(TER_ander_ele_kWh/1000),0,TER_ander_ele_kWh/1000)</f>
        <v>2019.86985</v>
      </c>
      <c r="C30" s="39">
        <f>IF(ISERROR(B30*3.6/1000000/'E Balans VL '!Z14*100),0,B30*3.6/1000000/'E Balans VL '!Z14*100)</f>
        <v>9.0816196609467659E-2</v>
      </c>
      <c r="D30" s="232" t="s">
        <v>700</v>
      </c>
      <c r="F30" s="6"/>
    </row>
    <row r="31" spans="1:18">
      <c r="A31" s="227" t="s">
        <v>54</v>
      </c>
      <c r="B31" s="33">
        <f>IF(ISERROR(TER_onderwijs_ele_kWh/1000),0,TER_onderwijs_ele_kWh/1000)</f>
        <v>33.463999999999999</v>
      </c>
      <c r="C31" s="39">
        <f>IF(ISERROR(B31*3.6/1000000/'E Balans VL '!Z11*100),0,B31*3.6/1000000/'E Balans VL '!Z11*100)</f>
        <v>9.3520812886602796E-3</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21040.564649999997</v>
      </c>
      <c r="C5" s="17">
        <f>IF(ISERROR('Eigen informatie GS &amp; warmtenet'!B59),0,'Eigen informatie GS &amp; warmtenet'!B59)</f>
        <v>0</v>
      </c>
      <c r="D5" s="30">
        <f>SUM(D6:D15)</f>
        <v>20116.535331200001</v>
      </c>
      <c r="E5" s="17">
        <f>SUM(E6:E15)</f>
        <v>343.4835225293923</v>
      </c>
      <c r="F5" s="17">
        <f>SUM(F6:F15)</f>
        <v>2741.8800942572389</v>
      </c>
      <c r="G5" s="18"/>
      <c r="H5" s="17"/>
      <c r="I5" s="17"/>
      <c r="J5" s="17">
        <f>SUM(J6:J15)</f>
        <v>12.358232764512685</v>
      </c>
      <c r="K5" s="17"/>
      <c r="L5" s="17"/>
      <c r="M5" s="17"/>
      <c r="N5" s="17">
        <f>SUM(N6:N15)</f>
        <v>374.72651181852689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16286.17815</v>
      </c>
      <c r="C8" s="33"/>
      <c r="D8" s="37">
        <f>IF( ISERROR(IND_metaal_Gas_kWH/1000),0,IND_metaal_Gas_kWH/1000)*0.902</f>
        <v>16469.569292</v>
      </c>
      <c r="E8" s="33">
        <f>C30*'E Balans VL '!I18/100/3.6*1000000</f>
        <v>147.80205652578476</v>
      </c>
      <c r="F8" s="33">
        <f>C30*'E Balans VL '!L18/100/3.6*1000000+C30*'E Balans VL '!N18/100/3.6*1000000</f>
        <v>1499.0137726059511</v>
      </c>
      <c r="G8" s="34"/>
      <c r="H8" s="33"/>
      <c r="I8" s="33"/>
      <c r="J8" s="40">
        <f>C30*'E Balans VL '!D18/100/3.6*1000000+C30*'E Balans VL '!E18/100/3.6*1000000</f>
        <v>0</v>
      </c>
      <c r="K8" s="33"/>
      <c r="L8" s="33"/>
      <c r="M8" s="33"/>
      <c r="N8" s="33">
        <f>C30*'E Balans VL '!Y18/100/3.6*1000000</f>
        <v>237.76537583485788</v>
      </c>
      <c r="O8" s="33"/>
      <c r="P8" s="33"/>
      <c r="R8" s="32"/>
    </row>
    <row r="9" spans="1:18">
      <c r="A9" s="6" t="s">
        <v>32</v>
      </c>
      <c r="B9" s="37">
        <f t="shared" si="0"/>
        <v>922.73244999999997</v>
      </c>
      <c r="C9" s="33"/>
      <c r="D9" s="37">
        <f>IF( ISERROR(IND_andere_gas_kWh/1000),0,IND_andere_gas_kWh/1000)*0.902</f>
        <v>608.30392919999997</v>
      </c>
      <c r="E9" s="33">
        <f>C31*'E Balans VL '!I19/100/3.6*1000000</f>
        <v>5.3557476739034762</v>
      </c>
      <c r="F9" s="33">
        <f>C31*'E Balans VL '!L19/100/3.6*1000000+C31*'E Balans VL '!N19/100/3.6*1000000</f>
        <v>608.53168964773465</v>
      </c>
      <c r="G9" s="34"/>
      <c r="H9" s="33"/>
      <c r="I9" s="33"/>
      <c r="J9" s="40">
        <f>C31*'E Balans VL '!D19/100/3.6*1000000+C31*'E Balans VL '!E19/100/3.6*1000000</f>
        <v>0</v>
      </c>
      <c r="K9" s="33"/>
      <c r="L9" s="33"/>
      <c r="M9" s="33"/>
      <c r="N9" s="33">
        <f>C31*'E Balans VL '!Y19/100/3.6*1000000</f>
        <v>42.732541852703214</v>
      </c>
      <c r="O9" s="33"/>
      <c r="P9" s="33"/>
      <c r="R9" s="32"/>
    </row>
    <row r="10" spans="1:18">
      <c r="A10" s="6" t="s">
        <v>40</v>
      </c>
      <c r="B10" s="37">
        <f t="shared" si="0"/>
        <v>256.32704999999999</v>
      </c>
      <c r="C10" s="33"/>
      <c r="D10" s="37">
        <f>IF( ISERROR(IND_voed_gas_kWh/1000),0,IND_voed_gas_kWh/1000)*0.902</f>
        <v>45.033252000000005</v>
      </c>
      <c r="E10" s="33">
        <f>C32*'E Balans VL '!I20/100/3.6*1000000</f>
        <v>0.54321680906635494</v>
      </c>
      <c r="F10" s="33">
        <f>C32*'E Balans VL '!L20/100/3.6*1000000+C32*'E Balans VL '!N20/100/3.6*1000000</f>
        <v>16.290642872673196</v>
      </c>
      <c r="G10" s="34"/>
      <c r="H10" s="33"/>
      <c r="I10" s="33"/>
      <c r="J10" s="40">
        <f>C32*'E Balans VL '!D20/100/3.6*1000000+C32*'E Balans VL '!E20/100/3.6*1000000</f>
        <v>0</v>
      </c>
      <c r="K10" s="33"/>
      <c r="L10" s="33"/>
      <c r="M10" s="33"/>
      <c r="N10" s="33">
        <f>C32*'E Balans VL '!Y20/100/3.6*1000000</f>
        <v>7.4306372749010983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69.209000000000003</v>
      </c>
      <c r="C13" s="33"/>
      <c r="D13" s="37">
        <f>IF( ISERROR(IND_papier_gas_kWh/1000),0,IND_papier_gas_kWh/1000)*0.902</f>
        <v>0</v>
      </c>
      <c r="E13" s="33">
        <f>C35*'E Balans VL '!I23/100/3.6*1000000</f>
        <v>0.10215692233546715</v>
      </c>
      <c r="F13" s="33">
        <f>C35*'E Balans VL '!L23/100/3.6*1000000+C35*'E Balans VL '!N23/100/3.6*1000000</f>
        <v>1.7923041649758749</v>
      </c>
      <c r="G13" s="34"/>
      <c r="H13" s="33"/>
      <c r="I13" s="33"/>
      <c r="J13" s="40">
        <f>C35*'E Balans VL '!D23/100/3.6*1000000+C35*'E Balans VL '!E23/100/3.6*1000000</f>
        <v>1.1136063386002884E-2</v>
      </c>
      <c r="K13" s="33"/>
      <c r="L13" s="33"/>
      <c r="M13" s="33"/>
      <c r="N13" s="33">
        <f>C35*'E Balans VL '!Y23/100/3.6*1000000</f>
        <v>-3.1432629495648796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3506.1179999999999</v>
      </c>
      <c r="C15" s="33"/>
      <c r="D15" s="37">
        <f>IF( ISERROR(IND_rest_gas_kWh/1000),0,IND_rest_gas_kWh/1000)*0.902</f>
        <v>2993.628858</v>
      </c>
      <c r="E15" s="33">
        <f>C37*'E Balans VL '!I15/100/3.6*1000000</f>
        <v>189.68034459830224</v>
      </c>
      <c r="F15" s="33">
        <f>C37*'E Balans VL '!L15/100/3.6*1000000+C37*'E Balans VL '!N15/100/3.6*1000000</f>
        <v>616.25168496590368</v>
      </c>
      <c r="G15" s="34"/>
      <c r="H15" s="33"/>
      <c r="I15" s="33"/>
      <c r="J15" s="40">
        <f>C37*'E Balans VL '!D15/100/3.6*1000000+C37*'E Balans VL '!E15/100/3.6*1000000</f>
        <v>12.347096701126683</v>
      </c>
      <c r="K15" s="33"/>
      <c r="L15" s="33"/>
      <c r="M15" s="33"/>
      <c r="N15" s="33">
        <f>C37*'E Balans VL '!Y15/100/3.6*1000000</f>
        <v>89.941219805629586</v>
      </c>
      <c r="O15" s="33"/>
      <c r="P15" s="33"/>
      <c r="R15" s="32"/>
    </row>
    <row r="16" spans="1:18">
      <c r="A16" s="16" t="s">
        <v>473</v>
      </c>
      <c r="B16" s="242">
        <f>'lokale energieproductie'!N38+'lokale energieproductie'!N31</f>
        <v>3645.0000000000005</v>
      </c>
      <c r="C16" s="242">
        <f>'lokale energieproductie'!O38+'lokale energieproductie'!O31</f>
        <v>5207.1428571428578</v>
      </c>
      <c r="D16" s="300">
        <f>('lokale energieproductie'!P31+'lokale energieproductie'!P38)*(-1)</f>
        <v>-10414.285714285716</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24685.564649999997</v>
      </c>
      <c r="C18" s="21">
        <f>C5+C16</f>
        <v>5207.1428571428578</v>
      </c>
      <c r="D18" s="21">
        <f>MAX((D5+D16),0)</f>
        <v>9702.2496169142851</v>
      </c>
      <c r="E18" s="21">
        <f>MAX((E5+E16),0)</f>
        <v>343.4835225293923</v>
      </c>
      <c r="F18" s="21">
        <f>MAX((F5+F16),0)</f>
        <v>2741.8800942572389</v>
      </c>
      <c r="G18" s="21"/>
      <c r="H18" s="21"/>
      <c r="I18" s="21"/>
      <c r="J18" s="21">
        <f>MAX((J5+J16),0)</f>
        <v>12.358232764512685</v>
      </c>
      <c r="K18" s="21"/>
      <c r="L18" s="21">
        <f>MAX((L5+L16),0)</f>
        <v>0</v>
      </c>
      <c r="M18" s="21"/>
      <c r="N18" s="21">
        <f>MAX((N5+N16),0)</f>
        <v>374.72651181852689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0.21018391717296628</v>
      </c>
      <c r="C20" s="25">
        <f ca="1">'EF ele_warmte'!B22</f>
        <v>0.23761629374341836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5188.5086757635036</v>
      </c>
      <c r="C22" s="23">
        <f ca="1">C18*C20</f>
        <v>1237.3019867068001</v>
      </c>
      <c r="D22" s="23">
        <f>D18*D20</f>
        <v>1959.8544226166857</v>
      </c>
      <c r="E22" s="23">
        <f>E18*E20</f>
        <v>77.970759614172053</v>
      </c>
      <c r="F22" s="23">
        <f>F18*F20</f>
        <v>732.08198516668278</v>
      </c>
      <c r="G22" s="23"/>
      <c r="H22" s="23"/>
      <c r="I22" s="23"/>
      <c r="J22" s="23">
        <f>J18*J20</f>
        <v>4.3748143986374908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16286.17815</v>
      </c>
      <c r="C30" s="39">
        <f>IF(ISERROR(B30*3.6/1000000/'E Balans VL '!Z18*100),0,B30*3.6/1000000/'E Balans VL '!Z18*100)</f>
        <v>0.94449440421512343</v>
      </c>
      <c r="D30" s="232" t="s">
        <v>700</v>
      </c>
    </row>
    <row r="31" spans="1:18">
      <c r="A31" s="6" t="s">
        <v>32</v>
      </c>
      <c r="B31" s="37">
        <f>IF( ISERROR(IND_ander_ele_kWh/1000),0,IND_ander_ele_kWh/1000)</f>
        <v>922.73244999999997</v>
      </c>
      <c r="C31" s="39">
        <f>IF(ISERROR(B31*3.6/1000000/'E Balans VL '!Z19*100),0,B31*3.6/1000000/'E Balans VL '!Z19*100)</f>
        <v>3.8536779430507234E-2</v>
      </c>
      <c r="D31" s="232" t="s">
        <v>700</v>
      </c>
    </row>
    <row r="32" spans="1:18">
      <c r="A32" s="167" t="s">
        <v>40</v>
      </c>
      <c r="B32" s="37">
        <f>IF( ISERROR(IND_voed_ele_kWh/1000),0,IND_voed_ele_kWh/1000)</f>
        <v>256.32704999999999</v>
      </c>
      <c r="C32" s="39">
        <f>IF(ISERROR(B32*3.6/1000000/'E Balans VL '!Z20*100),0,B32*3.6/1000000/'E Balans VL '!Z20*100)</f>
        <v>7.9502551339776691E-3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69.209000000000003</v>
      </c>
      <c r="C35" s="39">
        <f>IF(ISERROR(B35*3.6/1000000/'E Balans VL '!Z22*100),0,B35*3.6/1000000/'E Balans VL '!Z22*100)</f>
        <v>1.295123678205762E-2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3506.1179999999999</v>
      </c>
      <c r="C37" s="39">
        <f>IF(ISERROR(B37*3.6/1000000/'E Balans VL '!Z15*100),0,B37*3.6/1000000/'E Balans VL '!Z15*100)</f>
        <v>2.7336990185292235E-2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1287.7813000000001</v>
      </c>
      <c r="C5" s="17">
        <f>'Eigen informatie GS &amp; warmtenet'!B60</f>
        <v>0</v>
      </c>
      <c r="D5" s="30">
        <f>IF(ISERROR(SUM(LB_lb_gas_kWh,LB_rest_gas_kWh)/1000),0,SUM(LB_lb_gas_kWh,LB_rest_gas_kWh)/1000)*0.902</f>
        <v>286.482416</v>
      </c>
      <c r="E5" s="17">
        <f>B17*'E Balans VL '!I25/3.6*1000000/100</f>
        <v>41.792736462663889</v>
      </c>
      <c r="F5" s="17">
        <f>B17*('E Balans VL '!L25/3.6*1000000+'E Balans VL '!N25/3.6*1000000)/100</f>
        <v>4750.875105726278</v>
      </c>
      <c r="G5" s="18"/>
      <c r="H5" s="17"/>
      <c r="I5" s="17"/>
      <c r="J5" s="17">
        <f>('E Balans VL '!D25+'E Balans VL '!E25)/3.6*1000000*landbouw!B17/100</f>
        <v>338.67316794845669</v>
      </c>
      <c r="K5" s="17"/>
      <c r="L5" s="17">
        <f>L6*(-1)</f>
        <v>0</v>
      </c>
      <c r="M5" s="17"/>
      <c r="N5" s="17">
        <f>N6*(-1)</f>
        <v>0</v>
      </c>
      <c r="O5" s="17"/>
      <c r="P5" s="17"/>
      <c r="R5" s="32"/>
    </row>
    <row r="6" spans="1:18">
      <c r="A6" s="16" t="s">
        <v>473</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1287.7813000000001</v>
      </c>
      <c r="C8" s="21">
        <f>C5+C6</f>
        <v>0</v>
      </c>
      <c r="D8" s="21">
        <f>MAX((D5+D6),0)</f>
        <v>286.482416</v>
      </c>
      <c r="E8" s="21">
        <f>MAX((E5+E6),0)</f>
        <v>41.792736462663889</v>
      </c>
      <c r="F8" s="21">
        <f>MAX((F5+F6),0)</f>
        <v>4750.875105726278</v>
      </c>
      <c r="G8" s="21"/>
      <c r="H8" s="21"/>
      <c r="I8" s="21"/>
      <c r="J8" s="21">
        <f>MAX((J5+J6),0)</f>
        <v>338.67316794845669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0.21018391717296628</v>
      </c>
      <c r="C10" s="31">
        <f ca="1">'EF ele_warmte'!B22</f>
        <v>0.23761629374341836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270.67091809609485</v>
      </c>
      <c r="C12" s="23">
        <f ca="1">C8*C10</f>
        <v>0</v>
      </c>
      <c r="D12" s="23">
        <f>D8*D10</f>
        <v>57.869448032000001</v>
      </c>
      <c r="E12" s="23">
        <f>E8*E10</f>
        <v>9.4869511770247037</v>
      </c>
      <c r="F12" s="23">
        <f>F8*F10</f>
        <v>1268.4836532289162</v>
      </c>
      <c r="G12" s="23"/>
      <c r="H12" s="23"/>
      <c r="I12" s="23"/>
      <c r="J12" s="23">
        <f>J8*J10</f>
        <v>119.89030145375366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0.18274020676061248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72.387857220165785</v>
      </c>
      <c r="C26" s="242">
        <f>B26*'GWP N2O_CH4'!B5</f>
        <v>1520.1450016234814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22.622818317817128</v>
      </c>
      <c r="C27" s="242">
        <f>B27*'GWP N2O_CH4'!B5</f>
        <v>475.07918467415971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1.1267692549846016</v>
      </c>
      <c r="C28" s="242">
        <f>B28*'GWP N2O_CH4'!B4</f>
        <v>349.29846904522651</v>
      </c>
      <c r="D28" s="50"/>
    </row>
    <row r="29" spans="1:4">
      <c r="A29" s="41" t="s">
        <v>265</v>
      </c>
      <c r="B29" s="242">
        <f>B34*'ha_N2O bodem landbouw'!B4</f>
        <v>26.003360821998736</v>
      </c>
      <c r="C29" s="242">
        <f>B29*'GWP N2O_CH4'!B4</f>
        <v>8061.0418548196085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5.9338773280121623E-3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2.1459740872052785E-4</v>
      </c>
      <c r="C5" s="427" t="s">
        <v>204</v>
      </c>
      <c r="D5" s="412">
        <f>SUM(D6:D11)</f>
        <v>3.5576464836280469E-4</v>
      </c>
      <c r="E5" s="412">
        <f>SUM(E6:E11)</f>
        <v>6.591317987214132E-4</v>
      </c>
      <c r="F5" s="425" t="s">
        <v>204</v>
      </c>
      <c r="G5" s="412">
        <f>SUM(G6:G11)</f>
        <v>0.26304351361371253</v>
      </c>
      <c r="H5" s="412">
        <f>SUM(H6:H11)</f>
        <v>6.2242086745806807E-2</v>
      </c>
      <c r="I5" s="427" t="s">
        <v>204</v>
      </c>
      <c r="J5" s="427" t="s">
        <v>204</v>
      </c>
      <c r="K5" s="427" t="s">
        <v>204</v>
      </c>
      <c r="L5" s="427" t="s">
        <v>204</v>
      </c>
      <c r="M5" s="412">
        <f>SUM(M6:M11)</f>
        <v>1.7200868145436438E-2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6.542451670920994E-5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1.105452885286666E-4</v>
      </c>
      <c r="E6" s="818">
        <f>vkm_GW_PW*SUMIFS(TableVerdeelsleutelVkm[LPG],TableVerdeelsleutelVkm[Voertuigtype],"Lichte voertuigen")*SUMIFS(TableECFTransport[EnergieConsumptieFactor (PJ per km)],TableECFTransport[Index],CONCATENATE($A6,"_LPG_LPG"))</f>
        <v>1.9216093483169204E-4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5.8200450864386528E-2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1.9166476185029035E-2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3.9646652425483495E-3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6.0363976004591125E-7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1.9389054428326287E-2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3.8682940405179436E-7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1.1328181253343539E-3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5.5731230464461533E-5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1.2056254051865096E-4</v>
      </c>
      <c r="E8" s="415">
        <f>vkm_NGW_PW*SUMIFS(TableVerdeelsleutelVkm[LPG],TableVerdeelsleutelVkm[Voertuigtype],"Lichte voertuigen")*SUMIFS(TableECFTransport[EnergieConsumptieFactor (PJ per km)],TableECFTransport[Index],CONCATENATE($A8,"_LPG_LPG"))</f>
        <v>2.000721574589916E-4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5.659227235140759E-2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2.0420855067057021E-2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3.9076387870460227E-3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1.2985928854256252E-7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5.3518123533725682E-3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1.0044564370940747E-7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3.1268293394023439E-4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9.1059784535798573E-5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1.2465681931548715E-4</v>
      </c>
      <c r="E10" s="415">
        <f>vkm_SW_PW*SUMIFS(TableVerdeelsleutelVkm[LPG],TableVerdeelsleutelVkm[Voertuigtype],"Lichte voertuigen")*SUMIFS(TableECFTransport[EnergieConsumptieFactor (PJ per km)],TableECFTransport[Index],CONCATENATE($A10,"_LPG_LPG"))</f>
        <v>2.6689870643072957E-4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7.307944910158054E-2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2.265318097001583E-2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4.9366273696159219E-3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1.6483779624693162E-6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5.0430474514639029E-2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1.0872486571623749E-6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2.9464356869515545E-3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59.610391311257729</v>
      </c>
      <c r="C14" s="21"/>
      <c r="D14" s="21">
        <f t="shared" ref="D14:M14" si="0">((D5)*10^9/3600)+D12</f>
        <v>98.823513434112414</v>
      </c>
      <c r="E14" s="21">
        <f t="shared" si="0"/>
        <v>183.09216631150369</v>
      </c>
      <c r="F14" s="21"/>
      <c r="G14" s="21">
        <f t="shared" si="0"/>
        <v>73067.642670475703</v>
      </c>
      <c r="H14" s="21">
        <f t="shared" si="0"/>
        <v>17289.46854050189</v>
      </c>
      <c r="I14" s="21"/>
      <c r="J14" s="21"/>
      <c r="K14" s="21"/>
      <c r="L14" s="21"/>
      <c r="M14" s="21">
        <f t="shared" si="0"/>
        <v>4778.0189292878995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0.21018391717296628</v>
      </c>
      <c r="C16" s="56">
        <f ca="1">'EF ele_warmte'!B22</f>
        <v>0.23761629374341836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12.529145550013503</v>
      </c>
      <c r="C18" s="23"/>
      <c r="D18" s="23">
        <f t="shared" ref="D18:M18" si="1">D14*D16</f>
        <v>19.96234971369071</v>
      </c>
      <c r="E18" s="23">
        <f t="shared" si="1"/>
        <v>41.561921752711342</v>
      </c>
      <c r="F18" s="23"/>
      <c r="G18" s="23">
        <f t="shared" si="1"/>
        <v>19509.060593017013</v>
      </c>
      <c r="H18" s="23">
        <f t="shared" si="1"/>
        <v>4305.0776665849708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3.9380176064203566E-5</v>
      </c>
      <c r="C50" s="311">
        <f t="shared" ref="C50:P50" si="2">SUM(C51:C52)</f>
        <v>0</v>
      </c>
      <c r="D50" s="311">
        <f t="shared" si="2"/>
        <v>0</v>
      </c>
      <c r="E50" s="311">
        <f t="shared" si="2"/>
        <v>0</v>
      </c>
      <c r="F50" s="311">
        <f t="shared" si="2"/>
        <v>0</v>
      </c>
      <c r="G50" s="311">
        <f t="shared" si="2"/>
        <v>3.699376726089147E-3</v>
      </c>
      <c r="H50" s="311">
        <f t="shared" si="2"/>
        <v>0</v>
      </c>
      <c r="I50" s="311">
        <f t="shared" si="2"/>
        <v>0</v>
      </c>
      <c r="J50" s="311">
        <f t="shared" si="2"/>
        <v>0</v>
      </c>
      <c r="K50" s="311">
        <f t="shared" si="2"/>
        <v>0</v>
      </c>
      <c r="L50" s="311">
        <f t="shared" si="2"/>
        <v>0</v>
      </c>
      <c r="M50" s="311">
        <f t="shared" si="2"/>
        <v>2.1303599833403527E-4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3.9380176064203566E-5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3.699376726089147E-3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2.1303599833403527E-4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10.938937795612102</v>
      </c>
      <c r="C54" s="21">
        <f t="shared" ref="C54:P54" si="3">(C50)*10^9/3600</f>
        <v>0</v>
      </c>
      <c r="D54" s="21">
        <f t="shared" si="3"/>
        <v>0</v>
      </c>
      <c r="E54" s="21">
        <f t="shared" si="3"/>
        <v>0</v>
      </c>
      <c r="F54" s="21">
        <f t="shared" si="3"/>
        <v>0</v>
      </c>
      <c r="G54" s="21">
        <f t="shared" si="3"/>
        <v>1027.6046461358742</v>
      </c>
      <c r="H54" s="21">
        <f t="shared" si="3"/>
        <v>0</v>
      </c>
      <c r="I54" s="21">
        <f t="shared" si="3"/>
        <v>0</v>
      </c>
      <c r="J54" s="21">
        <f t="shared" si="3"/>
        <v>0</v>
      </c>
      <c r="K54" s="21">
        <f t="shared" si="3"/>
        <v>0</v>
      </c>
      <c r="L54" s="21">
        <f t="shared" si="3"/>
        <v>0</v>
      </c>
      <c r="M54" s="21">
        <f t="shared" si="3"/>
        <v>59.176666203898691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0.21018391717296628</v>
      </c>
      <c r="C56" s="56">
        <f ca="1">'EF ele_warmte'!B22</f>
        <v>0.23761629374341836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2.2991887955931642</v>
      </c>
      <c r="C58" s="23">
        <f t="shared" ref="C58:P58" ca="1" si="4">C54*C56</f>
        <v>0</v>
      </c>
      <c r="D58" s="23">
        <f t="shared" si="4"/>
        <v>0</v>
      </c>
      <c r="E58" s="23">
        <f t="shared" si="4"/>
        <v>0</v>
      </c>
      <c r="F58" s="23">
        <f t="shared" si="4"/>
        <v>0</v>
      </c>
      <c r="G58" s="23">
        <f t="shared" si="4"/>
        <v>274.37044051827843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3461.8959541185859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3653.5000000000005</v>
      </c>
      <c r="C8" s="534">
        <f>B49</f>
        <v>4297.6788573840549</v>
      </c>
      <c r="D8" s="962"/>
      <c r="E8" s="962">
        <f>E49</f>
        <v>0</v>
      </c>
      <c r="F8" s="963"/>
      <c r="G8" s="535"/>
      <c r="H8" s="962">
        <f>I49</f>
        <v>0</v>
      </c>
      <c r="I8" s="962">
        <f>G49+F49</f>
        <v>0</v>
      </c>
      <c r="J8" s="962">
        <f>H49+D49+C49</f>
        <v>0</v>
      </c>
      <c r="K8" s="962"/>
      <c r="L8" s="962"/>
      <c r="M8" s="962"/>
      <c r="N8" s="536"/>
      <c r="O8" s="537">
        <f>C8*$C$12+D8*$D$12+E8*$E$12+F8*$F$12+G8*$G$12+H8*$H$12+I8*$I$12+J8*$J$12</f>
        <v>868.13112919157913</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7115.3959541185868</v>
      </c>
      <c r="C10" s="547">
        <f t="shared" ref="C10:L10" si="0">SUM(C8:C9)</f>
        <v>4297.6788573840549</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868.13112919157913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5219.3185328185336</v>
      </c>
      <c r="C17" s="559">
        <f>B50</f>
        <v>6139.579829874634</v>
      </c>
      <c r="D17" s="560"/>
      <c r="E17" s="560">
        <f>E50</f>
        <v>0</v>
      </c>
      <c r="F17" s="968"/>
      <c r="G17" s="561"/>
      <c r="H17" s="559">
        <f>I50</f>
        <v>0</v>
      </c>
      <c r="I17" s="560">
        <f>G50+F50</f>
        <v>0</v>
      </c>
      <c r="J17" s="560">
        <f>H50+D50+C50</f>
        <v>0</v>
      </c>
      <c r="K17" s="560"/>
      <c r="L17" s="560"/>
      <c r="M17" s="560"/>
      <c r="N17" s="969"/>
      <c r="O17" s="562">
        <f>C17*$C$22+E17*$E$22+H17*$H$22+I17*$I$22+J17*$J$22+D17*$D$22+F17*$F$22+G17*$G$22+K17*$K$22+L17*$L$22</f>
        <v>1240.1951256346761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5219.3185328185336</v>
      </c>
      <c r="C20" s="546">
        <f>SUM(C17:C19)</f>
        <v>6139.579829874634</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1240.1951256346761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24059</v>
      </c>
      <c r="C28" s="724">
        <v>3400</v>
      </c>
      <c r="D28" s="617"/>
      <c r="E28" s="616"/>
      <c r="F28" s="616"/>
      <c r="G28" s="616" t="s">
        <v>878</v>
      </c>
      <c r="H28" s="616" t="s">
        <v>879</v>
      </c>
      <c r="I28" s="616"/>
      <c r="J28" s="723"/>
      <c r="K28" s="723"/>
      <c r="L28" s="616" t="s">
        <v>880</v>
      </c>
      <c r="M28" s="616">
        <v>810</v>
      </c>
      <c r="N28" s="616">
        <v>3645.0000000000005</v>
      </c>
      <c r="O28" s="616">
        <v>5207.1428571428578</v>
      </c>
      <c r="P28" s="616">
        <v>10414.285714285716</v>
      </c>
      <c r="Q28" s="616">
        <v>0</v>
      </c>
      <c r="R28" s="616">
        <v>0</v>
      </c>
      <c r="S28" s="616">
        <v>0</v>
      </c>
      <c r="T28" s="616">
        <v>0</v>
      </c>
      <c r="U28" s="616">
        <v>0</v>
      </c>
      <c r="V28" s="616">
        <v>0</v>
      </c>
      <c r="W28" s="616">
        <v>0</v>
      </c>
      <c r="X28" s="616"/>
      <c r="Y28" s="616">
        <v>800</v>
      </c>
      <c r="Z28" s="616" t="s">
        <v>35</v>
      </c>
      <c r="AA28" s="618" t="s">
        <v>375</v>
      </c>
    </row>
    <row r="29" spans="1:27" s="570" customFormat="1" ht="63.75" hidden="1">
      <c r="A29" s="569"/>
      <c r="B29" s="724">
        <v>24059</v>
      </c>
      <c r="C29" s="724">
        <v>3400</v>
      </c>
      <c r="D29" s="617"/>
      <c r="E29" s="616"/>
      <c r="F29" s="616"/>
      <c r="G29" s="616" t="s">
        <v>881</v>
      </c>
      <c r="H29" s="616" t="s">
        <v>881</v>
      </c>
      <c r="I29" s="616"/>
      <c r="J29" s="723"/>
      <c r="K29" s="723"/>
      <c r="L29" s="616" t="s">
        <v>880</v>
      </c>
      <c r="M29" s="616">
        <v>1.7</v>
      </c>
      <c r="N29" s="616">
        <v>8.5</v>
      </c>
      <c r="O29" s="616">
        <v>12.175675675675675</v>
      </c>
      <c r="P29" s="616">
        <v>22.972972972972972</v>
      </c>
      <c r="Q29" s="616">
        <v>0</v>
      </c>
      <c r="R29" s="616">
        <v>0</v>
      </c>
      <c r="S29" s="616">
        <v>0</v>
      </c>
      <c r="T29" s="616">
        <v>0</v>
      </c>
      <c r="U29" s="616">
        <v>0</v>
      </c>
      <c r="V29" s="616">
        <v>0</v>
      </c>
      <c r="W29" s="616">
        <v>0</v>
      </c>
      <c r="X29" s="616"/>
      <c r="Y29" s="616">
        <v>1600</v>
      </c>
      <c r="Z29" s="616" t="s">
        <v>49</v>
      </c>
      <c r="AA29" s="618" t="s">
        <v>149</v>
      </c>
    </row>
    <row r="30" spans="1:27" s="554" customFormat="1" hidden="1">
      <c r="A30" s="572" t="s">
        <v>268</v>
      </c>
      <c r="B30" s="573"/>
      <c r="C30" s="573"/>
      <c r="D30" s="573"/>
      <c r="E30" s="573"/>
      <c r="F30" s="573"/>
      <c r="G30" s="573"/>
      <c r="H30" s="573"/>
      <c r="I30" s="573"/>
      <c r="J30" s="573"/>
      <c r="K30" s="573"/>
      <c r="L30" s="574"/>
      <c r="M30" s="574">
        <f>SUM(M28:M29)</f>
        <v>811.7</v>
      </c>
      <c r="N30" s="574">
        <f>SUM(N28:N29)</f>
        <v>3653.5000000000005</v>
      </c>
      <c r="O30" s="574">
        <f>SUM(O28:O29)</f>
        <v>5219.3185328185336</v>
      </c>
      <c r="P30" s="574">
        <f>SUM(P28:P29)</f>
        <v>10437.258687258689</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810</v>
      </c>
      <c r="N31" s="574">
        <f>SUMIF($AA$28:$AA$29,"industrie",N28:N29)</f>
        <v>3645.0000000000005</v>
      </c>
      <c r="O31" s="574">
        <f>SUMIF($AA$28:$AA$29,"industrie",O28:O29)</f>
        <v>5207.1428571428578</v>
      </c>
      <c r="P31" s="574">
        <f>SUMIF($AA$28:$AA$29,"industrie",P28:P29)</f>
        <v>10414.285714285716</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1.7</v>
      </c>
      <c r="N32" s="574">
        <f ca="1">SUMIF($AA$28:AE29,"tertiair",N28:N29)</f>
        <v>8.5</v>
      </c>
      <c r="O32" s="574">
        <f ca="1">SUMIF($AA$28:AF29,"tertiair",O28:O29)</f>
        <v>12.175675675675675</v>
      </c>
      <c r="P32" s="574">
        <f ca="1">SUMIF($AA$28:AG29,"tertiair",P28:P29)</f>
        <v>22.972972972972972</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0.58823681714141496</v>
      </c>
      <c r="C46" s="599">
        <f>IF(ISERROR(N30/(O30+N30)),0,N30/(N30+O30))</f>
        <v>0.4117631828585851</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4297.6788573840549</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6139.579829874634</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10933.633750000001</v>
      </c>
      <c r="D10" s="931">
        <f ca="1">tertiair!C16</f>
        <v>12.175675675675675</v>
      </c>
      <c r="E10" s="931">
        <f ca="1">tertiair!D16</f>
        <v>11792.382258927028</v>
      </c>
      <c r="F10" s="931">
        <f>tertiair!E16</f>
        <v>144.6842437593389</v>
      </c>
      <c r="G10" s="931">
        <f ca="1">tertiair!F16</f>
        <v>2114.5787815245831</v>
      </c>
      <c r="H10" s="931">
        <f>tertiair!G16</f>
        <v>0</v>
      </c>
      <c r="I10" s="931">
        <f>tertiair!H16</f>
        <v>0</v>
      </c>
      <c r="J10" s="931">
        <f>tertiair!I16</f>
        <v>0</v>
      </c>
      <c r="K10" s="931">
        <f>tertiair!J16</f>
        <v>2.2174288005478354E-2</v>
      </c>
      <c r="L10" s="931">
        <f>tertiair!K16</f>
        <v>0</v>
      </c>
      <c r="M10" s="931">
        <f ca="1">tertiair!L16</f>
        <v>0</v>
      </c>
      <c r="N10" s="931">
        <f>tertiair!M16</f>
        <v>0</v>
      </c>
      <c r="O10" s="931">
        <f ca="1">tertiair!N16</f>
        <v>882.26353931651408</v>
      </c>
      <c r="P10" s="931">
        <f>tertiair!O16</f>
        <v>0</v>
      </c>
      <c r="Q10" s="932">
        <f>tertiair!P16</f>
        <v>19.066666666666666</v>
      </c>
      <c r="R10" s="628">
        <f ca="1">SUM(C10:Q10)</f>
        <v>25898.80709015781</v>
      </c>
      <c r="S10" s="67"/>
    </row>
    <row r="11" spans="1:19" s="437" customFormat="1">
      <c r="A11" s="736" t="s">
        <v>213</v>
      </c>
      <c r="B11" s="741"/>
      <c r="C11" s="931">
        <f>huishoudens!B8</f>
        <v>27269.800542554152</v>
      </c>
      <c r="D11" s="931">
        <f>huishoudens!C8</f>
        <v>0</v>
      </c>
      <c r="E11" s="931">
        <f>huishoudens!D8</f>
        <v>31455.106261700003</v>
      </c>
      <c r="F11" s="931">
        <f>huishoudens!E8</f>
        <v>2678.4719995591558</v>
      </c>
      <c r="G11" s="931">
        <f>huishoudens!F8</f>
        <v>62084.897055172361</v>
      </c>
      <c r="H11" s="931">
        <f>huishoudens!G8</f>
        <v>0</v>
      </c>
      <c r="I11" s="931">
        <f>huishoudens!H8</f>
        <v>0</v>
      </c>
      <c r="J11" s="931">
        <f>huishoudens!I8</f>
        <v>0</v>
      </c>
      <c r="K11" s="931">
        <f>huishoudens!J8</f>
        <v>319.06168280705987</v>
      </c>
      <c r="L11" s="931">
        <f>huishoudens!K8</f>
        <v>0</v>
      </c>
      <c r="M11" s="931">
        <f>huishoudens!L8</f>
        <v>0</v>
      </c>
      <c r="N11" s="931">
        <f>huishoudens!M8</f>
        <v>0</v>
      </c>
      <c r="O11" s="931">
        <f>huishoudens!N8</f>
        <v>11294.998184138698</v>
      </c>
      <c r="P11" s="931">
        <f>huishoudens!O8</f>
        <v>176.65666666666667</v>
      </c>
      <c r="Q11" s="932">
        <f>huishoudens!P8</f>
        <v>819.86666666666667</v>
      </c>
      <c r="R11" s="628">
        <f>SUM(C11:Q11)</f>
        <v>136098.85905926477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24685.564649999997</v>
      </c>
      <c r="D13" s="931">
        <f>industrie!C18</f>
        <v>5207.1428571428578</v>
      </c>
      <c r="E13" s="931">
        <f>industrie!D18</f>
        <v>9702.2496169142851</v>
      </c>
      <c r="F13" s="931">
        <f>industrie!E18</f>
        <v>343.4835225293923</v>
      </c>
      <c r="G13" s="931">
        <f>industrie!F18</f>
        <v>2741.8800942572389</v>
      </c>
      <c r="H13" s="931">
        <f>industrie!G18</f>
        <v>0</v>
      </c>
      <c r="I13" s="931">
        <f>industrie!H18</f>
        <v>0</v>
      </c>
      <c r="J13" s="931">
        <f>industrie!I18</f>
        <v>0</v>
      </c>
      <c r="K13" s="931">
        <f>industrie!J18</f>
        <v>12.358232764512685</v>
      </c>
      <c r="L13" s="931">
        <f>industrie!K18</f>
        <v>0</v>
      </c>
      <c r="M13" s="931">
        <f>industrie!L18</f>
        <v>0</v>
      </c>
      <c r="N13" s="931">
        <f>industrie!M18</f>
        <v>0</v>
      </c>
      <c r="O13" s="931">
        <f>industrie!N18</f>
        <v>374.72651181852689</v>
      </c>
      <c r="P13" s="931">
        <f>industrie!O18</f>
        <v>0</v>
      </c>
      <c r="Q13" s="932">
        <f>industrie!P18</f>
        <v>0</v>
      </c>
      <c r="R13" s="628">
        <f>SUM(C13:Q13)</f>
        <v>43067.405485426811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62888.998942554157</v>
      </c>
      <c r="D16" s="660">
        <f t="shared" ref="D16:R16" ca="1" si="0">SUM(D9:D15)</f>
        <v>5219.3185328185336</v>
      </c>
      <c r="E16" s="660">
        <f t="shared" ca="1" si="0"/>
        <v>52949.73813754131</v>
      </c>
      <c r="F16" s="660">
        <f t="shared" si="0"/>
        <v>3166.6397658478872</v>
      </c>
      <c r="G16" s="660">
        <f t="shared" ca="1" si="0"/>
        <v>66941.355930954189</v>
      </c>
      <c r="H16" s="660">
        <f t="shared" si="0"/>
        <v>0</v>
      </c>
      <c r="I16" s="660">
        <f t="shared" si="0"/>
        <v>0</v>
      </c>
      <c r="J16" s="660">
        <f t="shared" si="0"/>
        <v>0</v>
      </c>
      <c r="K16" s="660">
        <f t="shared" si="0"/>
        <v>331.44208985957806</v>
      </c>
      <c r="L16" s="660">
        <f t="shared" si="0"/>
        <v>0</v>
      </c>
      <c r="M16" s="660">
        <f t="shared" ca="1" si="0"/>
        <v>0</v>
      </c>
      <c r="N16" s="660">
        <f t="shared" si="0"/>
        <v>0</v>
      </c>
      <c r="O16" s="660">
        <f t="shared" ca="1" si="0"/>
        <v>12551.98823527374</v>
      </c>
      <c r="P16" s="660">
        <f t="shared" si="0"/>
        <v>176.65666666666667</v>
      </c>
      <c r="Q16" s="660">
        <f t="shared" si="0"/>
        <v>838.93333333333339</v>
      </c>
      <c r="R16" s="660">
        <f t="shared" ca="1" si="0"/>
        <v>205065.07163484939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10.938937795612102</v>
      </c>
      <c r="D19" s="931">
        <f>transport!C54</f>
        <v>0</v>
      </c>
      <c r="E19" s="931">
        <f>transport!D54</f>
        <v>0</v>
      </c>
      <c r="F19" s="931">
        <f>transport!E54</f>
        <v>0</v>
      </c>
      <c r="G19" s="931">
        <f>transport!F54</f>
        <v>0</v>
      </c>
      <c r="H19" s="931">
        <f>transport!G54</f>
        <v>1027.6046461358742</v>
      </c>
      <c r="I19" s="931">
        <f>transport!H54</f>
        <v>0</v>
      </c>
      <c r="J19" s="931">
        <f>transport!I54</f>
        <v>0</v>
      </c>
      <c r="K19" s="931">
        <f>transport!J54</f>
        <v>0</v>
      </c>
      <c r="L19" s="931">
        <f>transport!K54</f>
        <v>0</v>
      </c>
      <c r="M19" s="931">
        <f>transport!L54</f>
        <v>0</v>
      </c>
      <c r="N19" s="931">
        <f>transport!M54</f>
        <v>59.176666203898691</v>
      </c>
      <c r="O19" s="931">
        <f>transport!N54</f>
        <v>0</v>
      </c>
      <c r="P19" s="931">
        <f>transport!O54</f>
        <v>0</v>
      </c>
      <c r="Q19" s="932">
        <f>transport!P54</f>
        <v>0</v>
      </c>
      <c r="R19" s="628">
        <f>SUM(C19:Q19)</f>
        <v>1097.720250135385</v>
      </c>
      <c r="S19" s="67"/>
    </row>
    <row r="20" spans="1:19" s="437" customFormat="1">
      <c r="A20" s="736" t="s">
        <v>295</v>
      </c>
      <c r="B20" s="741"/>
      <c r="C20" s="931">
        <f>transport!B14</f>
        <v>59.610391311257729</v>
      </c>
      <c r="D20" s="931">
        <f>transport!C14</f>
        <v>0</v>
      </c>
      <c r="E20" s="931">
        <f>transport!D14</f>
        <v>98.823513434112414</v>
      </c>
      <c r="F20" s="931">
        <f>transport!E14</f>
        <v>183.09216631150369</v>
      </c>
      <c r="G20" s="931">
        <f>transport!F14</f>
        <v>0</v>
      </c>
      <c r="H20" s="931">
        <f>transport!G14</f>
        <v>73067.642670475703</v>
      </c>
      <c r="I20" s="931">
        <f>transport!H14</f>
        <v>17289.46854050189</v>
      </c>
      <c r="J20" s="931">
        <f>transport!I14</f>
        <v>0</v>
      </c>
      <c r="K20" s="931">
        <f>transport!J14</f>
        <v>0</v>
      </c>
      <c r="L20" s="931">
        <f>transport!K14</f>
        <v>0</v>
      </c>
      <c r="M20" s="931">
        <f>transport!L14</f>
        <v>0</v>
      </c>
      <c r="N20" s="931">
        <f>transport!M14</f>
        <v>4778.0189292878995</v>
      </c>
      <c r="O20" s="931">
        <f>transport!N14</f>
        <v>0</v>
      </c>
      <c r="P20" s="931">
        <f>transport!O14</f>
        <v>0</v>
      </c>
      <c r="Q20" s="932">
        <f>transport!P14</f>
        <v>0</v>
      </c>
      <c r="R20" s="628">
        <f>SUM(C20:Q20)</f>
        <v>95476.656211322363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70.549329106869834</v>
      </c>
      <c r="D22" s="739">
        <f t="shared" ref="D22:R22" si="1">SUM(D18:D21)</f>
        <v>0</v>
      </c>
      <c r="E22" s="739">
        <f t="shared" si="1"/>
        <v>98.823513434112414</v>
      </c>
      <c r="F22" s="739">
        <f t="shared" si="1"/>
        <v>183.09216631150369</v>
      </c>
      <c r="G22" s="739">
        <f t="shared" si="1"/>
        <v>0</v>
      </c>
      <c r="H22" s="739">
        <f t="shared" si="1"/>
        <v>74095.247316611581</v>
      </c>
      <c r="I22" s="739">
        <f t="shared" si="1"/>
        <v>17289.46854050189</v>
      </c>
      <c r="J22" s="739">
        <f t="shared" si="1"/>
        <v>0</v>
      </c>
      <c r="K22" s="739">
        <f t="shared" si="1"/>
        <v>0</v>
      </c>
      <c r="L22" s="739">
        <f t="shared" si="1"/>
        <v>0</v>
      </c>
      <c r="M22" s="739">
        <f t="shared" si="1"/>
        <v>0</v>
      </c>
      <c r="N22" s="739">
        <f t="shared" si="1"/>
        <v>4837.1955954917985</v>
      </c>
      <c r="O22" s="739">
        <f t="shared" si="1"/>
        <v>0</v>
      </c>
      <c r="P22" s="739">
        <f t="shared" si="1"/>
        <v>0</v>
      </c>
      <c r="Q22" s="739">
        <f t="shared" si="1"/>
        <v>0</v>
      </c>
      <c r="R22" s="739">
        <f t="shared" si="1"/>
        <v>96574.376461457752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1287.7813000000001</v>
      </c>
      <c r="D24" s="931">
        <f>+landbouw!C8</f>
        <v>0</v>
      </c>
      <c r="E24" s="931">
        <f>+landbouw!D8</f>
        <v>286.482416</v>
      </c>
      <c r="F24" s="931">
        <f>+landbouw!E8</f>
        <v>41.792736462663889</v>
      </c>
      <c r="G24" s="931">
        <f>+landbouw!F8</f>
        <v>4750.875105726278</v>
      </c>
      <c r="H24" s="931">
        <f>+landbouw!G8</f>
        <v>0</v>
      </c>
      <c r="I24" s="931">
        <f>+landbouw!H8</f>
        <v>0</v>
      </c>
      <c r="J24" s="931">
        <f>+landbouw!I8</f>
        <v>0</v>
      </c>
      <c r="K24" s="931">
        <f>+landbouw!J8</f>
        <v>338.67316794845669</v>
      </c>
      <c r="L24" s="931">
        <f>+landbouw!K8</f>
        <v>0</v>
      </c>
      <c r="M24" s="931">
        <f>+landbouw!L8</f>
        <v>0</v>
      </c>
      <c r="N24" s="931">
        <f>+landbouw!M8</f>
        <v>0</v>
      </c>
      <c r="O24" s="931">
        <f>+landbouw!N8</f>
        <v>0</v>
      </c>
      <c r="P24" s="931">
        <f>+landbouw!O8</f>
        <v>0</v>
      </c>
      <c r="Q24" s="932">
        <f>+landbouw!P8</f>
        <v>0</v>
      </c>
      <c r="R24" s="628">
        <f>SUM(C24:Q24)</f>
        <v>6705.6047261373988</v>
      </c>
      <c r="S24" s="67"/>
    </row>
    <row r="25" spans="1:19" s="437" customFormat="1" ht="15" thickBot="1">
      <c r="A25" s="758" t="s">
        <v>775</v>
      </c>
      <c r="B25" s="934"/>
      <c r="C25" s="935">
        <f>IF(Onbekend_ele_kWh="---",0,Onbekend_ele_kWh)/1000+IF(REST_rest_ele_kWh="---",0,REST_rest_ele_kWh)/1000</f>
        <v>875.26498800000002</v>
      </c>
      <c r="D25" s="935"/>
      <c r="E25" s="935">
        <f>IF(onbekend_gas_kWh="---",0,onbekend_gas_kWh)/1000+IF(REST_rest_gas_kWh="---",0,REST_rest_gas_kWh)/1000</f>
        <v>1369.9383</v>
      </c>
      <c r="F25" s="935"/>
      <c r="G25" s="935"/>
      <c r="H25" s="935"/>
      <c r="I25" s="935"/>
      <c r="J25" s="935"/>
      <c r="K25" s="935"/>
      <c r="L25" s="935"/>
      <c r="M25" s="935"/>
      <c r="N25" s="935"/>
      <c r="O25" s="935"/>
      <c r="P25" s="935"/>
      <c r="Q25" s="936"/>
      <c r="R25" s="628">
        <f>SUM(C25:Q25)</f>
        <v>2245.2032880000002</v>
      </c>
      <c r="S25" s="67"/>
    </row>
    <row r="26" spans="1:19" s="437" customFormat="1" ht="15.75" thickBot="1">
      <c r="A26" s="633" t="s">
        <v>776</v>
      </c>
      <c r="B26" s="744"/>
      <c r="C26" s="739">
        <f>SUM(C24:C25)</f>
        <v>2163.046288</v>
      </c>
      <c r="D26" s="739">
        <f t="shared" ref="D26:R26" si="2">SUM(D24:D25)</f>
        <v>0</v>
      </c>
      <c r="E26" s="739">
        <f t="shared" si="2"/>
        <v>1656.4207160000001</v>
      </c>
      <c r="F26" s="739">
        <f t="shared" si="2"/>
        <v>41.792736462663889</v>
      </c>
      <c r="G26" s="739">
        <f t="shared" si="2"/>
        <v>4750.875105726278</v>
      </c>
      <c r="H26" s="739">
        <f t="shared" si="2"/>
        <v>0</v>
      </c>
      <c r="I26" s="739">
        <f t="shared" si="2"/>
        <v>0</v>
      </c>
      <c r="J26" s="739">
        <f t="shared" si="2"/>
        <v>0</v>
      </c>
      <c r="K26" s="739">
        <f t="shared" si="2"/>
        <v>338.67316794845669</v>
      </c>
      <c r="L26" s="739">
        <f t="shared" si="2"/>
        <v>0</v>
      </c>
      <c r="M26" s="739">
        <f t="shared" si="2"/>
        <v>0</v>
      </c>
      <c r="N26" s="739">
        <f t="shared" si="2"/>
        <v>0</v>
      </c>
      <c r="O26" s="739">
        <f t="shared" si="2"/>
        <v>0</v>
      </c>
      <c r="P26" s="739">
        <f t="shared" si="2"/>
        <v>0</v>
      </c>
      <c r="Q26" s="739">
        <f t="shared" si="2"/>
        <v>0</v>
      </c>
      <c r="R26" s="739">
        <f t="shared" si="2"/>
        <v>8950.8080141373994</v>
      </c>
      <c r="S26" s="67"/>
    </row>
    <row r="27" spans="1:19" s="437" customFormat="1" ht="17.25" thickTop="1" thickBot="1">
      <c r="A27" s="634" t="s">
        <v>109</v>
      </c>
      <c r="B27" s="732"/>
      <c r="C27" s="635">
        <f ca="1">C22+C16+C26</f>
        <v>65122.594559661025</v>
      </c>
      <c r="D27" s="635">
        <f t="shared" ref="D27:R27" ca="1" si="3">D22+D16+D26</f>
        <v>5219.3185328185336</v>
      </c>
      <c r="E27" s="635">
        <f t="shared" ca="1" si="3"/>
        <v>54704.982366975426</v>
      </c>
      <c r="F27" s="635">
        <f t="shared" si="3"/>
        <v>3391.5246686220548</v>
      </c>
      <c r="G27" s="635">
        <f t="shared" ca="1" si="3"/>
        <v>71692.23103668046</v>
      </c>
      <c r="H27" s="635">
        <f t="shared" si="3"/>
        <v>74095.247316611581</v>
      </c>
      <c r="I27" s="635">
        <f t="shared" si="3"/>
        <v>17289.46854050189</v>
      </c>
      <c r="J27" s="635">
        <f t="shared" si="3"/>
        <v>0</v>
      </c>
      <c r="K27" s="635">
        <f t="shared" si="3"/>
        <v>670.11525780803481</v>
      </c>
      <c r="L27" s="635">
        <f t="shared" si="3"/>
        <v>0</v>
      </c>
      <c r="M27" s="635">
        <f t="shared" ca="1" si="3"/>
        <v>0</v>
      </c>
      <c r="N27" s="635">
        <f t="shared" si="3"/>
        <v>4837.1955954917985</v>
      </c>
      <c r="O27" s="635">
        <f t="shared" ca="1" si="3"/>
        <v>12551.98823527374</v>
      </c>
      <c r="P27" s="635">
        <f t="shared" si="3"/>
        <v>176.65666666666667</v>
      </c>
      <c r="Q27" s="635">
        <f t="shared" si="3"/>
        <v>838.93333333333339</v>
      </c>
      <c r="R27" s="635">
        <f t="shared" ca="1" si="3"/>
        <v>310590.25611044449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2298.0739705095489</v>
      </c>
      <c r="D40" s="931">
        <f ca="1">tertiair!C20</f>
        <v>2.893138927875945</v>
      </c>
      <c r="E40" s="931">
        <f ca="1">tertiair!D20</f>
        <v>2382.0612163032597</v>
      </c>
      <c r="F40" s="931">
        <f>tertiair!E20</f>
        <v>32.843323333369931</v>
      </c>
      <c r="G40" s="931">
        <f ca="1">tertiair!F20</f>
        <v>564.59253466706366</v>
      </c>
      <c r="H40" s="931">
        <f>tertiair!G20</f>
        <v>0</v>
      </c>
      <c r="I40" s="931">
        <f>tertiair!H20</f>
        <v>0</v>
      </c>
      <c r="J40" s="931">
        <f>tertiair!I20</f>
        <v>0</v>
      </c>
      <c r="K40" s="931">
        <f>tertiair!J20</f>
        <v>7.8496979539393365E-3</v>
      </c>
      <c r="L40" s="931">
        <f>tertiair!K20</f>
        <v>0</v>
      </c>
      <c r="M40" s="931">
        <f ca="1">tertiair!L20</f>
        <v>0</v>
      </c>
      <c r="N40" s="931">
        <f>tertiair!M20</f>
        <v>0</v>
      </c>
      <c r="O40" s="931">
        <f ca="1">tertiair!N20</f>
        <v>0</v>
      </c>
      <c r="P40" s="931">
        <f>tertiair!O20</f>
        <v>0</v>
      </c>
      <c r="Q40" s="702">
        <f>tertiair!P20</f>
        <v>0</v>
      </c>
      <c r="R40" s="777">
        <f t="shared" ca="1" si="4"/>
        <v>5280.4720334390722</v>
      </c>
    </row>
    <row r="41" spans="1:18">
      <c r="A41" s="749" t="s">
        <v>213</v>
      </c>
      <c r="B41" s="756"/>
      <c r="C41" s="931">
        <f ca="1">huishoudens!B12</f>
        <v>5731.6734985595131</v>
      </c>
      <c r="D41" s="931">
        <f ca="1">huishoudens!C12</f>
        <v>0</v>
      </c>
      <c r="E41" s="931">
        <f>huishoudens!D12</f>
        <v>6353.9314648634008</v>
      </c>
      <c r="F41" s="931">
        <f>huishoudens!E12</f>
        <v>608.01314389992842</v>
      </c>
      <c r="G41" s="931">
        <f>huishoudens!F12</f>
        <v>16576.667513731023</v>
      </c>
      <c r="H41" s="931">
        <f>huishoudens!G12</f>
        <v>0</v>
      </c>
      <c r="I41" s="931">
        <f>huishoudens!H12</f>
        <v>0</v>
      </c>
      <c r="J41" s="931">
        <f>huishoudens!I12</f>
        <v>0</v>
      </c>
      <c r="K41" s="931">
        <f>huishoudens!J12</f>
        <v>112.94783571369919</v>
      </c>
      <c r="L41" s="931">
        <f>huishoudens!K12</f>
        <v>0</v>
      </c>
      <c r="M41" s="931">
        <f>huishoudens!L12</f>
        <v>0</v>
      </c>
      <c r="N41" s="931">
        <f>huishoudens!M12</f>
        <v>0</v>
      </c>
      <c r="O41" s="931">
        <f>huishoudens!N12</f>
        <v>0</v>
      </c>
      <c r="P41" s="931">
        <f>huishoudens!O12</f>
        <v>0</v>
      </c>
      <c r="Q41" s="702">
        <f>huishoudens!P12</f>
        <v>0</v>
      </c>
      <c r="R41" s="777">
        <f t="shared" ca="1" si="4"/>
        <v>29383.233456767564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5188.5086757635036</v>
      </c>
      <c r="D43" s="931">
        <f ca="1">industrie!C22</f>
        <v>1237.3019867068001</v>
      </c>
      <c r="E43" s="931">
        <f>industrie!D22</f>
        <v>1959.8544226166857</v>
      </c>
      <c r="F43" s="931">
        <f>industrie!E22</f>
        <v>77.970759614172053</v>
      </c>
      <c r="G43" s="931">
        <f>industrie!F22</f>
        <v>732.08198516668278</v>
      </c>
      <c r="H43" s="931">
        <f>industrie!G22</f>
        <v>0</v>
      </c>
      <c r="I43" s="931">
        <f>industrie!H22</f>
        <v>0</v>
      </c>
      <c r="J43" s="931">
        <f>industrie!I22</f>
        <v>0</v>
      </c>
      <c r="K43" s="931">
        <f>industrie!J22</f>
        <v>4.3748143986374908</v>
      </c>
      <c r="L43" s="931">
        <f>industrie!K22</f>
        <v>0</v>
      </c>
      <c r="M43" s="931">
        <f>industrie!L22</f>
        <v>0</v>
      </c>
      <c r="N43" s="931">
        <f>industrie!M22</f>
        <v>0</v>
      </c>
      <c r="O43" s="931">
        <f>industrie!N22</f>
        <v>0</v>
      </c>
      <c r="P43" s="931">
        <f>industrie!O22</f>
        <v>0</v>
      </c>
      <c r="Q43" s="702">
        <f>industrie!P22</f>
        <v>0</v>
      </c>
      <c r="R43" s="776">
        <f t="shared" ca="1" si="4"/>
        <v>9200.0926442664804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13218.256144832565</v>
      </c>
      <c r="D46" s="660">
        <f t="shared" ref="D46:Q46" ca="1" si="5">SUM(D39:D45)</f>
        <v>1240.1951256346761</v>
      </c>
      <c r="E46" s="660">
        <f t="shared" ca="1" si="5"/>
        <v>10695.847103783346</v>
      </c>
      <c r="F46" s="660">
        <f t="shared" si="5"/>
        <v>718.82722684747034</v>
      </c>
      <c r="G46" s="660">
        <f t="shared" ca="1" si="5"/>
        <v>17873.342033564768</v>
      </c>
      <c r="H46" s="660">
        <f t="shared" si="5"/>
        <v>0</v>
      </c>
      <c r="I46" s="660">
        <f t="shared" si="5"/>
        <v>0</v>
      </c>
      <c r="J46" s="660">
        <f t="shared" si="5"/>
        <v>0</v>
      </c>
      <c r="K46" s="660">
        <f t="shared" si="5"/>
        <v>117.33049981029063</v>
      </c>
      <c r="L46" s="660">
        <f t="shared" si="5"/>
        <v>0</v>
      </c>
      <c r="M46" s="660">
        <f t="shared" ca="1" si="5"/>
        <v>0</v>
      </c>
      <c r="N46" s="660">
        <f t="shared" si="5"/>
        <v>0</v>
      </c>
      <c r="O46" s="660">
        <f t="shared" ca="1" si="5"/>
        <v>0</v>
      </c>
      <c r="P46" s="660">
        <f t="shared" si="5"/>
        <v>0</v>
      </c>
      <c r="Q46" s="660">
        <f t="shared" si="5"/>
        <v>0</v>
      </c>
      <c r="R46" s="660">
        <f ca="1">SUM(R39:R45)</f>
        <v>43863.798134473116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2.2991887955931642</v>
      </c>
      <c r="D49" s="931">
        <f ca="1">transport!C58</f>
        <v>0</v>
      </c>
      <c r="E49" s="931">
        <f>transport!D58</f>
        <v>0</v>
      </c>
      <c r="F49" s="931">
        <f>transport!E58</f>
        <v>0</v>
      </c>
      <c r="G49" s="931">
        <f>transport!F58</f>
        <v>0</v>
      </c>
      <c r="H49" s="931">
        <f>transport!G58</f>
        <v>274.37044051827843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276.66962931387161</v>
      </c>
    </row>
    <row r="50" spans="1:18">
      <c r="A50" s="752" t="s">
        <v>295</v>
      </c>
      <c r="B50" s="762"/>
      <c r="C50" s="631">
        <f ca="1">transport!B18</f>
        <v>12.529145550013503</v>
      </c>
      <c r="D50" s="631">
        <f>transport!C18</f>
        <v>0</v>
      </c>
      <c r="E50" s="631">
        <f>transport!D18</f>
        <v>19.96234971369071</v>
      </c>
      <c r="F50" s="631">
        <f>transport!E18</f>
        <v>41.561921752711342</v>
      </c>
      <c r="G50" s="631">
        <f>transport!F18</f>
        <v>0</v>
      </c>
      <c r="H50" s="631">
        <f>transport!G18</f>
        <v>19509.060593017013</v>
      </c>
      <c r="I50" s="631">
        <f>transport!H18</f>
        <v>4305.0776665849708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23888.1916766184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14.828334345606667</v>
      </c>
      <c r="D52" s="660">
        <f t="shared" ref="D52:Q52" ca="1" si="6">SUM(D48:D51)</f>
        <v>0</v>
      </c>
      <c r="E52" s="660">
        <f t="shared" si="6"/>
        <v>19.96234971369071</v>
      </c>
      <c r="F52" s="660">
        <f t="shared" si="6"/>
        <v>41.561921752711342</v>
      </c>
      <c r="G52" s="660">
        <f t="shared" si="6"/>
        <v>0</v>
      </c>
      <c r="H52" s="660">
        <f t="shared" si="6"/>
        <v>19783.431033535293</v>
      </c>
      <c r="I52" s="660">
        <f t="shared" si="6"/>
        <v>4305.0776665849708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24164.861305932271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270.67091809609485</v>
      </c>
      <c r="D54" s="631">
        <f ca="1">+landbouw!C12</f>
        <v>0</v>
      </c>
      <c r="E54" s="631">
        <f>+landbouw!D12</f>
        <v>57.869448032000001</v>
      </c>
      <c r="F54" s="631">
        <f>+landbouw!E12</f>
        <v>9.4869511770247037</v>
      </c>
      <c r="G54" s="631">
        <f>+landbouw!F12</f>
        <v>1268.4836532289162</v>
      </c>
      <c r="H54" s="631">
        <f>+landbouw!G12</f>
        <v>0</v>
      </c>
      <c r="I54" s="631">
        <f>+landbouw!H12</f>
        <v>0</v>
      </c>
      <c r="J54" s="631">
        <f>+landbouw!I12</f>
        <v>0</v>
      </c>
      <c r="K54" s="631">
        <f>+landbouw!J12</f>
        <v>119.89030145375366</v>
      </c>
      <c r="L54" s="631">
        <f>+landbouw!K12</f>
        <v>0</v>
      </c>
      <c r="M54" s="631">
        <f>+landbouw!L12</f>
        <v>0</v>
      </c>
      <c r="N54" s="631">
        <f>+landbouw!M12</f>
        <v>0</v>
      </c>
      <c r="O54" s="631">
        <f>+landbouw!N12</f>
        <v>0</v>
      </c>
      <c r="P54" s="631">
        <f>+landbouw!O12</f>
        <v>0</v>
      </c>
      <c r="Q54" s="632">
        <f>+landbouw!P12</f>
        <v>0</v>
      </c>
      <c r="R54" s="659">
        <f ca="1">SUM(C54:Q54)</f>
        <v>1726.4012719877894</v>
      </c>
    </row>
    <row r="55" spans="1:18" ht="15" thickBot="1">
      <c r="A55" s="752" t="s">
        <v>775</v>
      </c>
      <c r="B55" s="762"/>
      <c r="C55" s="631">
        <f ca="1">C25*'EF ele_warmte'!B12</f>
        <v>183.96662374218931</v>
      </c>
      <c r="D55" s="631"/>
      <c r="E55" s="631">
        <f>E25*EF_CO2_aardgas</f>
        <v>276.72753660000001</v>
      </c>
      <c r="F55" s="631"/>
      <c r="G55" s="631"/>
      <c r="H55" s="631"/>
      <c r="I55" s="631"/>
      <c r="J55" s="631"/>
      <c r="K55" s="631"/>
      <c r="L55" s="631"/>
      <c r="M55" s="631"/>
      <c r="N55" s="631"/>
      <c r="O55" s="631"/>
      <c r="P55" s="631"/>
      <c r="Q55" s="632"/>
      <c r="R55" s="659">
        <f ca="1">SUM(C55:Q55)</f>
        <v>460.69416034218932</v>
      </c>
    </row>
    <row r="56" spans="1:18" ht="15.75" thickBot="1">
      <c r="A56" s="750" t="s">
        <v>776</v>
      </c>
      <c r="B56" s="763"/>
      <c r="C56" s="660">
        <f ca="1">SUM(C54:C55)</f>
        <v>454.63754183828416</v>
      </c>
      <c r="D56" s="660">
        <f t="shared" ref="D56:Q56" ca="1" si="7">SUM(D54:D55)</f>
        <v>0</v>
      </c>
      <c r="E56" s="660">
        <f t="shared" si="7"/>
        <v>334.59698463199999</v>
      </c>
      <c r="F56" s="660">
        <f t="shared" si="7"/>
        <v>9.4869511770247037</v>
      </c>
      <c r="G56" s="660">
        <f t="shared" si="7"/>
        <v>1268.4836532289162</v>
      </c>
      <c r="H56" s="660">
        <f t="shared" si="7"/>
        <v>0</v>
      </c>
      <c r="I56" s="660">
        <f t="shared" si="7"/>
        <v>0</v>
      </c>
      <c r="J56" s="660">
        <f t="shared" si="7"/>
        <v>0</v>
      </c>
      <c r="K56" s="660">
        <f t="shared" si="7"/>
        <v>119.89030145375366</v>
      </c>
      <c r="L56" s="660">
        <f t="shared" si="7"/>
        <v>0</v>
      </c>
      <c r="M56" s="660">
        <f t="shared" si="7"/>
        <v>0</v>
      </c>
      <c r="N56" s="660">
        <f t="shared" si="7"/>
        <v>0</v>
      </c>
      <c r="O56" s="660">
        <f t="shared" si="7"/>
        <v>0</v>
      </c>
      <c r="P56" s="660">
        <f t="shared" si="7"/>
        <v>0</v>
      </c>
      <c r="Q56" s="661">
        <f t="shared" si="7"/>
        <v>0</v>
      </c>
      <c r="R56" s="662">
        <f ca="1">SUM(R54:R55)</f>
        <v>2187.0954323299788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13687.722021016456</v>
      </c>
      <c r="D61" s="668">
        <f t="shared" ref="D61:Q61" ca="1" si="8">D46+D52+D56</f>
        <v>1240.1951256346761</v>
      </c>
      <c r="E61" s="668">
        <f t="shared" ca="1" si="8"/>
        <v>11050.406438129037</v>
      </c>
      <c r="F61" s="668">
        <f t="shared" si="8"/>
        <v>769.87609977720638</v>
      </c>
      <c r="G61" s="668">
        <f t="shared" ca="1" si="8"/>
        <v>19141.825686793683</v>
      </c>
      <c r="H61" s="668">
        <f t="shared" si="8"/>
        <v>19783.431033535293</v>
      </c>
      <c r="I61" s="668">
        <f t="shared" si="8"/>
        <v>4305.0776665849708</v>
      </c>
      <c r="J61" s="668">
        <f t="shared" si="8"/>
        <v>0</v>
      </c>
      <c r="K61" s="668">
        <f t="shared" si="8"/>
        <v>237.2208012640443</v>
      </c>
      <c r="L61" s="668">
        <f t="shared" si="8"/>
        <v>0</v>
      </c>
      <c r="M61" s="668">
        <f t="shared" ca="1" si="8"/>
        <v>0</v>
      </c>
      <c r="N61" s="668">
        <f t="shared" si="8"/>
        <v>0</v>
      </c>
      <c r="O61" s="668">
        <f t="shared" ca="1" si="8"/>
        <v>0</v>
      </c>
      <c r="P61" s="668">
        <f t="shared" si="8"/>
        <v>0</v>
      </c>
      <c r="Q61" s="668">
        <f t="shared" si="8"/>
        <v>0</v>
      </c>
      <c r="R61" s="668">
        <f ca="1">R46+R52+R56</f>
        <v>70215.754872735371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0.21018391717296625</v>
      </c>
      <c r="D63" s="709">
        <f t="shared" ca="1" si="9"/>
        <v>0.23761629374341836</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3461.8959541185859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3653.5000000000005</v>
      </c>
      <c r="D76" s="952">
        <f>'lokale energieproductie'!C8</f>
        <v>4297.6788573840549</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868.13112919157913</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3461.8959541185859</v>
      </c>
      <c r="C78" s="683">
        <f>SUM(C72:C77)</f>
        <v>3653.5000000000005</v>
      </c>
      <c r="D78" s="684">
        <f t="shared" ref="D78:H78" si="10">SUM(D76:D77)</f>
        <v>4297.6788573840549</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868.13112919157913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5219.3185328185336</v>
      </c>
      <c r="D87" s="705">
        <f>'lokale energieproductie'!C17</f>
        <v>6139.579829874634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1240.1951256346761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5219.3185328185336</v>
      </c>
      <c r="D90" s="683">
        <f t="shared" ref="D90:H90" si="12">SUM(D87:D89)</f>
        <v>6139.579829874634</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1240.1951256346761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27269.800542554152</v>
      </c>
      <c r="C4" s="441">
        <f>huishoudens!C8</f>
        <v>0</v>
      </c>
      <c r="D4" s="441">
        <f>huishoudens!D8</f>
        <v>31455.106261700003</v>
      </c>
      <c r="E4" s="441">
        <f>huishoudens!E8</f>
        <v>2678.4719995591558</v>
      </c>
      <c r="F4" s="441">
        <f>huishoudens!F8</f>
        <v>62084.897055172361</v>
      </c>
      <c r="G4" s="441">
        <f>huishoudens!G8</f>
        <v>0</v>
      </c>
      <c r="H4" s="441">
        <f>huishoudens!H8</f>
        <v>0</v>
      </c>
      <c r="I4" s="441">
        <f>huishoudens!I8</f>
        <v>0</v>
      </c>
      <c r="J4" s="441">
        <f>huishoudens!J8</f>
        <v>319.06168280705987</v>
      </c>
      <c r="K4" s="441">
        <f>huishoudens!K8</f>
        <v>0</v>
      </c>
      <c r="L4" s="441">
        <f>huishoudens!L8</f>
        <v>0</v>
      </c>
      <c r="M4" s="441">
        <f>huishoudens!M8</f>
        <v>0</v>
      </c>
      <c r="N4" s="441">
        <f>huishoudens!N8</f>
        <v>11294.998184138698</v>
      </c>
      <c r="O4" s="441">
        <f>huishoudens!O8</f>
        <v>176.65666666666667</v>
      </c>
      <c r="P4" s="442">
        <f>huishoudens!P8</f>
        <v>819.86666666666667</v>
      </c>
      <c r="Q4" s="443">
        <f>SUM(B4:P4)</f>
        <v>136098.85905926477</v>
      </c>
    </row>
    <row r="5" spans="1:17">
      <c r="A5" s="440" t="s">
        <v>149</v>
      </c>
      <c r="B5" s="441">
        <f ca="1">tertiair!B16</f>
        <v>9952.5867500000004</v>
      </c>
      <c r="C5" s="441">
        <f ca="1">tertiair!C16</f>
        <v>12.175675675675675</v>
      </c>
      <c r="D5" s="441">
        <f ca="1">tertiair!D16</f>
        <v>11792.382258927028</v>
      </c>
      <c r="E5" s="441">
        <f>tertiair!E16</f>
        <v>144.6842437593389</v>
      </c>
      <c r="F5" s="441">
        <f ca="1">tertiair!F16</f>
        <v>2114.5787815245831</v>
      </c>
      <c r="G5" s="441">
        <f>tertiair!G16</f>
        <v>0</v>
      </c>
      <c r="H5" s="441">
        <f>tertiair!H16</f>
        <v>0</v>
      </c>
      <c r="I5" s="441">
        <f>tertiair!I16</f>
        <v>0</v>
      </c>
      <c r="J5" s="441">
        <f>tertiair!J16</f>
        <v>2.2174288005478354E-2</v>
      </c>
      <c r="K5" s="441">
        <f>tertiair!K16</f>
        <v>0</v>
      </c>
      <c r="L5" s="441">
        <f ca="1">tertiair!L16</f>
        <v>0</v>
      </c>
      <c r="M5" s="441">
        <f>tertiair!M16</f>
        <v>0</v>
      </c>
      <c r="N5" s="441">
        <f ca="1">tertiair!N16</f>
        <v>882.26353931651408</v>
      </c>
      <c r="O5" s="441">
        <f>tertiair!O16</f>
        <v>0</v>
      </c>
      <c r="P5" s="442">
        <f>tertiair!P16</f>
        <v>19.066666666666666</v>
      </c>
      <c r="Q5" s="440">
        <f t="shared" ref="Q5:Q14" ca="1" si="0">SUM(B5:P5)</f>
        <v>24917.760090157812</v>
      </c>
    </row>
    <row r="6" spans="1:17">
      <c r="A6" s="440" t="s">
        <v>187</v>
      </c>
      <c r="B6" s="441">
        <f>'openbare verlichting'!B8</f>
        <v>981.04700000000003</v>
      </c>
      <c r="C6" s="441"/>
      <c r="D6" s="441"/>
      <c r="E6" s="441"/>
      <c r="F6" s="441"/>
      <c r="G6" s="441"/>
      <c r="H6" s="441"/>
      <c r="I6" s="441"/>
      <c r="J6" s="441"/>
      <c r="K6" s="441"/>
      <c r="L6" s="441"/>
      <c r="M6" s="441"/>
      <c r="N6" s="441"/>
      <c r="O6" s="441"/>
      <c r="P6" s="442"/>
      <c r="Q6" s="440">
        <f t="shared" si="0"/>
        <v>981.04700000000003</v>
      </c>
    </row>
    <row r="7" spans="1:17">
      <c r="A7" s="440" t="s">
        <v>105</v>
      </c>
      <c r="B7" s="441">
        <f>landbouw!B8</f>
        <v>1287.7813000000001</v>
      </c>
      <c r="C7" s="441">
        <f>landbouw!C8</f>
        <v>0</v>
      </c>
      <c r="D7" s="441">
        <f>landbouw!D8</f>
        <v>286.482416</v>
      </c>
      <c r="E7" s="441">
        <f>landbouw!E8</f>
        <v>41.792736462663889</v>
      </c>
      <c r="F7" s="441">
        <f>landbouw!F8</f>
        <v>4750.875105726278</v>
      </c>
      <c r="G7" s="441">
        <f>landbouw!G8</f>
        <v>0</v>
      </c>
      <c r="H7" s="441">
        <f>landbouw!H8</f>
        <v>0</v>
      </c>
      <c r="I7" s="441">
        <f>landbouw!I8</f>
        <v>0</v>
      </c>
      <c r="J7" s="441">
        <f>landbouw!J8</f>
        <v>338.67316794845669</v>
      </c>
      <c r="K7" s="441">
        <f>landbouw!K8</f>
        <v>0</v>
      </c>
      <c r="L7" s="441">
        <f>landbouw!L8</f>
        <v>0</v>
      </c>
      <c r="M7" s="441">
        <f>landbouw!M8</f>
        <v>0</v>
      </c>
      <c r="N7" s="441">
        <f>landbouw!N8</f>
        <v>0</v>
      </c>
      <c r="O7" s="441">
        <f>landbouw!O8</f>
        <v>0</v>
      </c>
      <c r="P7" s="442">
        <f>landbouw!P8</f>
        <v>0</v>
      </c>
      <c r="Q7" s="440">
        <f t="shared" si="0"/>
        <v>6705.6047261373988</v>
      </c>
    </row>
    <row r="8" spans="1:17">
      <c r="A8" s="440" t="s">
        <v>596</v>
      </c>
      <c r="B8" s="441">
        <f>industrie!B18</f>
        <v>24685.564649999997</v>
      </c>
      <c r="C8" s="441">
        <f>industrie!C18</f>
        <v>5207.1428571428578</v>
      </c>
      <c r="D8" s="441">
        <f>industrie!D18</f>
        <v>9702.2496169142851</v>
      </c>
      <c r="E8" s="441">
        <f>industrie!E18</f>
        <v>343.4835225293923</v>
      </c>
      <c r="F8" s="441">
        <f>industrie!F18</f>
        <v>2741.8800942572389</v>
      </c>
      <c r="G8" s="441">
        <f>industrie!G18</f>
        <v>0</v>
      </c>
      <c r="H8" s="441">
        <f>industrie!H18</f>
        <v>0</v>
      </c>
      <c r="I8" s="441">
        <f>industrie!I18</f>
        <v>0</v>
      </c>
      <c r="J8" s="441">
        <f>industrie!J18</f>
        <v>12.358232764512685</v>
      </c>
      <c r="K8" s="441">
        <f>industrie!K18</f>
        <v>0</v>
      </c>
      <c r="L8" s="441">
        <f>industrie!L18</f>
        <v>0</v>
      </c>
      <c r="M8" s="441">
        <f>industrie!M18</f>
        <v>0</v>
      </c>
      <c r="N8" s="441">
        <f>industrie!N18</f>
        <v>374.72651181852689</v>
      </c>
      <c r="O8" s="441">
        <f>industrie!O18</f>
        <v>0</v>
      </c>
      <c r="P8" s="442">
        <f>industrie!P18</f>
        <v>0</v>
      </c>
      <c r="Q8" s="440">
        <f t="shared" si="0"/>
        <v>43067.405485426811</v>
      </c>
    </row>
    <row r="9" spans="1:17" s="446" customFormat="1">
      <c r="A9" s="444" t="s">
        <v>545</v>
      </c>
      <c r="B9" s="445">
        <f>transport!B14</f>
        <v>59.610391311257729</v>
      </c>
      <c r="C9" s="445">
        <f>transport!C14</f>
        <v>0</v>
      </c>
      <c r="D9" s="445">
        <f>transport!D14</f>
        <v>98.823513434112414</v>
      </c>
      <c r="E9" s="445">
        <f>transport!E14</f>
        <v>183.09216631150369</v>
      </c>
      <c r="F9" s="445">
        <f>transport!F14</f>
        <v>0</v>
      </c>
      <c r="G9" s="445">
        <f>transport!G14</f>
        <v>73067.642670475703</v>
      </c>
      <c r="H9" s="445">
        <f>transport!H14</f>
        <v>17289.46854050189</v>
      </c>
      <c r="I9" s="445">
        <f>transport!I14</f>
        <v>0</v>
      </c>
      <c r="J9" s="445">
        <f>transport!J14</f>
        <v>0</v>
      </c>
      <c r="K9" s="445">
        <f>transport!K14</f>
        <v>0</v>
      </c>
      <c r="L9" s="445">
        <f>transport!L14</f>
        <v>0</v>
      </c>
      <c r="M9" s="445">
        <f>transport!M14</f>
        <v>4778.0189292878995</v>
      </c>
      <c r="N9" s="445">
        <f>transport!N14</f>
        <v>0</v>
      </c>
      <c r="O9" s="445">
        <f>transport!O14</f>
        <v>0</v>
      </c>
      <c r="P9" s="445">
        <f>transport!P14</f>
        <v>0</v>
      </c>
      <c r="Q9" s="444">
        <f>SUM(B9:P9)</f>
        <v>95476.656211322363</v>
      </c>
    </row>
    <row r="10" spans="1:17">
      <c r="A10" s="440" t="s">
        <v>535</v>
      </c>
      <c r="B10" s="441">
        <f>transport!B54</f>
        <v>10.938937795612102</v>
      </c>
      <c r="C10" s="441">
        <f>transport!C54</f>
        <v>0</v>
      </c>
      <c r="D10" s="441">
        <f>transport!D54</f>
        <v>0</v>
      </c>
      <c r="E10" s="441">
        <f>transport!E54</f>
        <v>0</v>
      </c>
      <c r="F10" s="441">
        <f>transport!F54</f>
        <v>0</v>
      </c>
      <c r="G10" s="441">
        <f>transport!G54</f>
        <v>1027.6046461358742</v>
      </c>
      <c r="H10" s="441">
        <f>transport!H54</f>
        <v>0</v>
      </c>
      <c r="I10" s="441">
        <f>transport!I54</f>
        <v>0</v>
      </c>
      <c r="J10" s="441">
        <f>transport!J54</f>
        <v>0</v>
      </c>
      <c r="K10" s="441">
        <f>transport!K54</f>
        <v>0</v>
      </c>
      <c r="L10" s="441">
        <f>transport!L54</f>
        <v>0</v>
      </c>
      <c r="M10" s="441">
        <f>transport!M54</f>
        <v>59.176666203898691</v>
      </c>
      <c r="N10" s="441">
        <f>transport!N54</f>
        <v>0</v>
      </c>
      <c r="O10" s="441">
        <f>transport!O54</f>
        <v>0</v>
      </c>
      <c r="P10" s="442">
        <f>transport!P54</f>
        <v>0</v>
      </c>
      <c r="Q10" s="440">
        <f t="shared" si="0"/>
        <v>1097.720250135385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875.26498800000002</v>
      </c>
      <c r="C14" s="448"/>
      <c r="D14" s="448">
        <f>'SEAP template'!E25</f>
        <v>1369.9383</v>
      </c>
      <c r="E14" s="448"/>
      <c r="F14" s="448"/>
      <c r="G14" s="448"/>
      <c r="H14" s="448"/>
      <c r="I14" s="448"/>
      <c r="J14" s="448"/>
      <c r="K14" s="448"/>
      <c r="L14" s="448"/>
      <c r="M14" s="448"/>
      <c r="N14" s="448"/>
      <c r="O14" s="448"/>
      <c r="P14" s="449"/>
      <c r="Q14" s="440">
        <f t="shared" si="0"/>
        <v>2245.2032880000002</v>
      </c>
    </row>
    <row r="15" spans="1:17" s="450" customFormat="1">
      <c r="A15" s="957" t="s">
        <v>539</v>
      </c>
      <c r="B15" s="905">
        <f ca="1">SUM(B4:B14)</f>
        <v>65122.594559661018</v>
      </c>
      <c r="C15" s="905">
        <f t="shared" ref="C15:Q15" ca="1" si="1">SUM(C4:C14)</f>
        <v>5219.3185328185336</v>
      </c>
      <c r="D15" s="905">
        <f t="shared" ca="1" si="1"/>
        <v>54704.982366975426</v>
      </c>
      <c r="E15" s="905">
        <f t="shared" si="1"/>
        <v>3391.5246686220548</v>
      </c>
      <c r="F15" s="905">
        <f t="shared" ca="1" si="1"/>
        <v>71692.23103668046</v>
      </c>
      <c r="G15" s="905">
        <f t="shared" si="1"/>
        <v>74095.247316611581</v>
      </c>
      <c r="H15" s="905">
        <f t="shared" si="1"/>
        <v>17289.46854050189</v>
      </c>
      <c r="I15" s="905">
        <f t="shared" si="1"/>
        <v>0</v>
      </c>
      <c r="J15" s="905">
        <f t="shared" si="1"/>
        <v>670.1152578080347</v>
      </c>
      <c r="K15" s="905">
        <f t="shared" si="1"/>
        <v>0</v>
      </c>
      <c r="L15" s="905">
        <f t="shared" ca="1" si="1"/>
        <v>0</v>
      </c>
      <c r="M15" s="905">
        <f t="shared" si="1"/>
        <v>4837.1955954917985</v>
      </c>
      <c r="N15" s="905">
        <f t="shared" ca="1" si="1"/>
        <v>12551.98823527374</v>
      </c>
      <c r="O15" s="905">
        <f t="shared" si="1"/>
        <v>176.65666666666667</v>
      </c>
      <c r="P15" s="905">
        <f t="shared" si="1"/>
        <v>838.93333333333339</v>
      </c>
      <c r="Q15" s="905">
        <f t="shared" ca="1" si="1"/>
        <v>310590.25611044455</v>
      </c>
    </row>
    <row r="17" spans="1:17">
      <c r="A17" s="451" t="s">
        <v>540</v>
      </c>
      <c r="B17" s="714">
        <f ca="1">huishoudens!B10</f>
        <v>0.21018391717296628</v>
      </c>
      <c r="C17" s="714">
        <f ca="1">huishoudens!C10</f>
        <v>0.23761629374341836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5731.6734985595131</v>
      </c>
      <c r="C22" s="441">
        <f t="shared" ref="C22:C32" ca="1" si="3">C4*$C$17</f>
        <v>0</v>
      </c>
      <c r="D22" s="441">
        <f t="shared" ref="D22:D32" si="4">D4*$D$17</f>
        <v>6353.9314648634008</v>
      </c>
      <c r="E22" s="441">
        <f t="shared" ref="E22:E32" si="5">E4*$E$17</f>
        <v>608.01314389992842</v>
      </c>
      <c r="F22" s="441">
        <f t="shared" ref="F22:F32" si="6">F4*$F$17</f>
        <v>16576.667513731023</v>
      </c>
      <c r="G22" s="441">
        <f t="shared" ref="G22:G32" si="7">G4*$G$17</f>
        <v>0</v>
      </c>
      <c r="H22" s="441">
        <f t="shared" ref="H22:H32" si="8">H4*$H$17</f>
        <v>0</v>
      </c>
      <c r="I22" s="441">
        <f t="shared" ref="I22:I32" si="9">I4*$I$17</f>
        <v>0</v>
      </c>
      <c r="J22" s="441">
        <f t="shared" ref="J22:J32" si="10">J4*$J$17</f>
        <v>112.94783571369919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29383.233456767564</v>
      </c>
    </row>
    <row r="23" spans="1:17">
      <c r="A23" s="440" t="s">
        <v>149</v>
      </c>
      <c r="B23" s="441">
        <f t="shared" ca="1" si="2"/>
        <v>2091.8736691187619</v>
      </c>
      <c r="C23" s="441">
        <f t="shared" ca="1" si="3"/>
        <v>2.893138927875945</v>
      </c>
      <c r="D23" s="441">
        <f t="shared" ca="1" si="4"/>
        <v>2382.0612163032597</v>
      </c>
      <c r="E23" s="441">
        <f t="shared" si="5"/>
        <v>32.843323333369931</v>
      </c>
      <c r="F23" s="441">
        <f t="shared" ca="1" si="6"/>
        <v>564.59253466706366</v>
      </c>
      <c r="G23" s="441">
        <f t="shared" si="7"/>
        <v>0</v>
      </c>
      <c r="H23" s="441">
        <f t="shared" si="8"/>
        <v>0</v>
      </c>
      <c r="I23" s="441">
        <f t="shared" si="9"/>
        <v>0</v>
      </c>
      <c r="J23" s="441">
        <f t="shared" si="10"/>
        <v>7.8496979539393365E-3</v>
      </c>
      <c r="K23" s="441">
        <f t="shared" si="11"/>
        <v>0</v>
      </c>
      <c r="L23" s="441">
        <f t="shared" ca="1" si="12"/>
        <v>0</v>
      </c>
      <c r="M23" s="441">
        <f t="shared" si="13"/>
        <v>0</v>
      </c>
      <c r="N23" s="441">
        <f t="shared" ca="1" si="14"/>
        <v>0</v>
      </c>
      <c r="O23" s="441">
        <f t="shared" si="15"/>
        <v>0</v>
      </c>
      <c r="P23" s="442">
        <f t="shared" si="16"/>
        <v>0</v>
      </c>
      <c r="Q23" s="440">
        <f t="shared" ref="Q23:Q32" ca="1" si="17">SUM(B23:P23)</f>
        <v>5074.2717320482852</v>
      </c>
    </row>
    <row r="24" spans="1:17">
      <c r="A24" s="440" t="s">
        <v>187</v>
      </c>
      <c r="B24" s="441">
        <f t="shared" ca="1" si="2"/>
        <v>206.20030139078705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206.20030139078705</v>
      </c>
    </row>
    <row r="25" spans="1:17">
      <c r="A25" s="440" t="s">
        <v>105</v>
      </c>
      <c r="B25" s="441">
        <f t="shared" ca="1" si="2"/>
        <v>270.67091809609485</v>
      </c>
      <c r="C25" s="441">
        <f t="shared" ca="1" si="3"/>
        <v>0</v>
      </c>
      <c r="D25" s="441">
        <f t="shared" si="4"/>
        <v>57.869448032000001</v>
      </c>
      <c r="E25" s="441">
        <f t="shared" si="5"/>
        <v>9.4869511770247037</v>
      </c>
      <c r="F25" s="441">
        <f t="shared" si="6"/>
        <v>1268.4836532289162</v>
      </c>
      <c r="G25" s="441">
        <f t="shared" si="7"/>
        <v>0</v>
      </c>
      <c r="H25" s="441">
        <f t="shared" si="8"/>
        <v>0</v>
      </c>
      <c r="I25" s="441">
        <f t="shared" si="9"/>
        <v>0</v>
      </c>
      <c r="J25" s="441">
        <f t="shared" si="10"/>
        <v>119.89030145375366</v>
      </c>
      <c r="K25" s="441">
        <f t="shared" si="11"/>
        <v>0</v>
      </c>
      <c r="L25" s="441">
        <f t="shared" si="12"/>
        <v>0</v>
      </c>
      <c r="M25" s="441">
        <f t="shared" si="13"/>
        <v>0</v>
      </c>
      <c r="N25" s="441">
        <f t="shared" si="14"/>
        <v>0</v>
      </c>
      <c r="O25" s="441">
        <f t="shared" si="15"/>
        <v>0</v>
      </c>
      <c r="P25" s="442">
        <f t="shared" si="16"/>
        <v>0</v>
      </c>
      <c r="Q25" s="440">
        <f t="shared" ca="1" si="17"/>
        <v>1726.4012719877894</v>
      </c>
    </row>
    <row r="26" spans="1:17">
      <c r="A26" s="440" t="s">
        <v>596</v>
      </c>
      <c r="B26" s="441">
        <f t="shared" ca="1" si="2"/>
        <v>5188.5086757635036</v>
      </c>
      <c r="C26" s="441">
        <f t="shared" ca="1" si="3"/>
        <v>1237.3019867068001</v>
      </c>
      <c r="D26" s="441">
        <f t="shared" si="4"/>
        <v>1959.8544226166857</v>
      </c>
      <c r="E26" s="441">
        <f t="shared" si="5"/>
        <v>77.970759614172053</v>
      </c>
      <c r="F26" s="441">
        <f t="shared" si="6"/>
        <v>732.08198516668278</v>
      </c>
      <c r="G26" s="441">
        <f t="shared" si="7"/>
        <v>0</v>
      </c>
      <c r="H26" s="441">
        <f t="shared" si="8"/>
        <v>0</v>
      </c>
      <c r="I26" s="441">
        <f t="shared" si="9"/>
        <v>0</v>
      </c>
      <c r="J26" s="441">
        <f t="shared" si="10"/>
        <v>4.3748143986374908</v>
      </c>
      <c r="K26" s="441">
        <f t="shared" si="11"/>
        <v>0</v>
      </c>
      <c r="L26" s="441">
        <f t="shared" si="12"/>
        <v>0</v>
      </c>
      <c r="M26" s="441">
        <f t="shared" si="13"/>
        <v>0</v>
      </c>
      <c r="N26" s="441">
        <f t="shared" si="14"/>
        <v>0</v>
      </c>
      <c r="O26" s="441">
        <f t="shared" si="15"/>
        <v>0</v>
      </c>
      <c r="P26" s="442">
        <f t="shared" si="16"/>
        <v>0</v>
      </c>
      <c r="Q26" s="440">
        <f t="shared" ca="1" si="17"/>
        <v>9200.0926442664804</v>
      </c>
    </row>
    <row r="27" spans="1:17" s="446" customFormat="1">
      <c r="A27" s="444" t="s">
        <v>545</v>
      </c>
      <c r="B27" s="708">
        <f t="shared" ca="1" si="2"/>
        <v>12.529145550013503</v>
      </c>
      <c r="C27" s="445">
        <f t="shared" ca="1" si="3"/>
        <v>0</v>
      </c>
      <c r="D27" s="445">
        <f t="shared" si="4"/>
        <v>19.96234971369071</v>
      </c>
      <c r="E27" s="445">
        <f t="shared" si="5"/>
        <v>41.561921752711342</v>
      </c>
      <c r="F27" s="445">
        <f t="shared" si="6"/>
        <v>0</v>
      </c>
      <c r="G27" s="445">
        <f t="shared" si="7"/>
        <v>19509.060593017013</v>
      </c>
      <c r="H27" s="445">
        <f t="shared" si="8"/>
        <v>4305.0776665849708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23888.1916766184</v>
      </c>
    </row>
    <row r="28" spans="1:17">
      <c r="A28" s="440" t="s">
        <v>535</v>
      </c>
      <c r="B28" s="441">
        <f t="shared" ca="1" si="2"/>
        <v>2.2991887955931642</v>
      </c>
      <c r="C28" s="441">
        <f t="shared" ca="1" si="3"/>
        <v>0</v>
      </c>
      <c r="D28" s="441">
        <f t="shared" si="4"/>
        <v>0</v>
      </c>
      <c r="E28" s="441">
        <f t="shared" si="5"/>
        <v>0</v>
      </c>
      <c r="F28" s="441">
        <f t="shared" si="6"/>
        <v>0</v>
      </c>
      <c r="G28" s="441">
        <f t="shared" si="7"/>
        <v>274.37044051827843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276.66962931387161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183.96662374218931</v>
      </c>
      <c r="C32" s="441">
        <f t="shared" ca="1" si="3"/>
        <v>0</v>
      </c>
      <c r="D32" s="441">
        <f t="shared" si="4"/>
        <v>276.72753660000001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460.69416034218932</v>
      </c>
    </row>
    <row r="33" spans="1:17" s="450" customFormat="1">
      <c r="A33" s="957" t="s">
        <v>539</v>
      </c>
      <c r="B33" s="905">
        <f ca="1">SUM(B22:B32)</f>
        <v>13687.722021016456</v>
      </c>
      <c r="C33" s="905">
        <f t="shared" ref="C33:Q33" ca="1" si="18">SUM(C22:C32)</f>
        <v>1240.1951256346761</v>
      </c>
      <c r="D33" s="905">
        <f t="shared" ca="1" si="18"/>
        <v>11050.406438129035</v>
      </c>
      <c r="E33" s="905">
        <f t="shared" si="18"/>
        <v>769.87609977720638</v>
      </c>
      <c r="F33" s="905">
        <f t="shared" ca="1" si="18"/>
        <v>19141.825686793683</v>
      </c>
      <c r="G33" s="905">
        <f t="shared" si="18"/>
        <v>19783.431033535293</v>
      </c>
      <c r="H33" s="905">
        <f t="shared" si="18"/>
        <v>4305.0776665849708</v>
      </c>
      <c r="I33" s="905">
        <f t="shared" si="18"/>
        <v>0</v>
      </c>
      <c r="J33" s="905">
        <f t="shared" si="18"/>
        <v>237.2208012640443</v>
      </c>
      <c r="K33" s="905">
        <f t="shared" si="18"/>
        <v>0</v>
      </c>
      <c r="L33" s="905">
        <f t="shared" ca="1" si="18"/>
        <v>0</v>
      </c>
      <c r="M33" s="905">
        <f t="shared" si="18"/>
        <v>0</v>
      </c>
      <c r="N33" s="905">
        <f t="shared" ca="1" si="18"/>
        <v>0</v>
      </c>
      <c r="O33" s="905">
        <f t="shared" si="18"/>
        <v>0</v>
      </c>
      <c r="P33" s="905">
        <f t="shared" si="18"/>
        <v>0</v>
      </c>
      <c r="Q33" s="905">
        <f t="shared" ca="1" si="18"/>
        <v>70215.754872735357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3461.8959541185859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3653.5000000000005</v>
      </c>
      <c r="D8" s="974">
        <f>'SEAP template'!D76</f>
        <v>4297.6788573840549</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868.13112919157913</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3461.8959541185859</v>
      </c>
      <c r="C10" s="978">
        <f>SUM(C4:C9)</f>
        <v>3653.5000000000005</v>
      </c>
      <c r="D10" s="978">
        <f t="shared" ref="D10:H10" si="0">SUM(D8:D9)</f>
        <v>4297.6788573840549</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868.13112919157913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0.21018391717296628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5219.3185328185336</v>
      </c>
      <c r="D17" s="975">
        <f>'SEAP template'!D87</f>
        <v>6139.579829874634</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1240.1951256346761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5219.3185328185336</v>
      </c>
      <c r="D20" s="978">
        <f t="shared" ref="D20:H20" si="2">SUM(D17:D19)</f>
        <v>6139.579829874634</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1240.1951256346761</v>
      </c>
    </row>
    <row r="22" spans="1:16">
      <c r="A22" s="451" t="s">
        <v>800</v>
      </c>
      <c r="B22" s="714" t="s">
        <v>794</v>
      </c>
      <c r="C22" s="714">
        <f ca="1">'EF ele_warmte'!B22</f>
        <v>0.23761629374341836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0.21018391717296628</v>
      </c>
      <c r="C17" s="488">
        <f ca="1">'EF ele_warmte'!B22</f>
        <v>0.23761629374341836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2022-07-26T10:39:29Z</dcterms:modified>
</cp:coreProperties>
</file>