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72D73C0-ED5C-40C7-82FB-17EEA027DC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<sst xmlns="http://schemas.openxmlformats.org/spreadsheetml/2006/main" count="2402" uniqueCount="881">
  <si>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</si>
  <si>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</si>
  <si>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</si>
  <si>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</si>
  <si>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</si>
  <si>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</si>
  <si>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</si>
  <si>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</si>
  <si>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</si>
  <si>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</si>
  <si>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</si>
  <si>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</si>
  <si>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</si>
  <si>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</si>
  <si>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</si>
  <si>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</si>
  <si>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</si>
  <si>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</si>
  <si>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</si>
  <si>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</si>
  <si>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</si>
  <si>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</si>
  <si>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</si>
  <si>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</si>
  <si>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</si>
  <si>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</si>
  <si>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</si>
  <si>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</si>
  <si>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</si>
  <si>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</si>
  <si>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</si>
  <si>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</si>
  <si>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</si>
  <si>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</si>
  <si>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</si>
  <si>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</si>
  <si>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</si>
  <si>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</si>
  <si>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</si>
  <si>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</si>
  <si>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</si>
  <si>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</si>
  <si>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</si>
  <si>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</si>
  <si>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</si>
  <si>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</si>
  <si>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</si>
  <si>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</si>
  <si>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</si>
  <si>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</si>
  <si>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</si>
  <si>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</si>
  <si>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</si>
  <si>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</si>
  <si>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</si>
  <si>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</si>
  <si>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</si>
  <si>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</si>
  <si>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</si>
  <si>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</si>
  <si>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</si>
  <si>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</si>
  <si>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</si>
  <si>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</si>
  <si>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</si>
  <si>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</si>
  <si>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</si>
  <si>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</si>
  <si>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</si>
  <si>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</si>
  <si>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</si>
  <si>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</si>
  <si>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</si>
  <si>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</si>
  <si>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</si>
  <si>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</si>
  <si>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</si>
  <si>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</si>
  <si>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</si>
  <si>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</si>
  <si>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</si>
  <si>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</si>
  <si>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</si>
  <si>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</si>
  <si>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</si>
  <si>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</si>
  <si>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</si>
  <si>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</si>
  <si>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</si>
  <si>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</si>
  <si>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</si>
  <si>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</si>
  <si>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</si>
  <si>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</si>
  <si>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</si>
  <si>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</si>
  <si>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</si>
  <si>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</si>
  <si>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</si>
  <si>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</si>
  <si>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</si>
  <si>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</si>
  <si>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</si>
  <si>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</si>
  <si>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</si>
  <si>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</si>
  <si>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</si>
  <si>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</si>
  <si>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</si>
  <si>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</si>
  <si>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</si>
  <si>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</si>
  <si>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</si>
  <si>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</si>
  <si>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</si>
  <si>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</si>
  <si>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</si>
  <si>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</si>
  <si>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</si>
  <si>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</si>
  <si>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</si>
  <si>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</si>
  <si>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</si>
  <si>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</si>
  <si>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</si>
  <si>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</si>
  <si>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</si>
  <si>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</si>
  <si>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</si>
  <si>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</si>
  <si>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</si>
  <si>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</si>
  <si>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</si>
  <si>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</si>
  <si>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</si>
  <si>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</si>
  <si>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</si>
  <si>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</si>
  <si>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</si>
  <si>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</si>
  <si>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</si>
  <si>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</si>
  <si>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</si>
  <si>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</si>
  <si>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</si>
  <si>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</si>
  <si>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</si>
  <si>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</si>
  <si>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</si>
  <si>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</si>
  <si>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</si>
  <si>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</si>
  <si>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</si>
  <si>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</si>
  <si>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</si>
  <si>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</si>
  <si>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</si>
  <si>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</si>
  <si>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</si>
  <si>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</si>
  <si>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</si>
  <si>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</si>
  <si>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</si>
  <si>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</si>
  <si>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</si>
  <si>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</si>
  <si>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</si>
  <si>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</si>
  <si>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</si>
  <si>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</si>
  <si>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</si>
  <si>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</si>
  <si>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</si>
  <si>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</si>
  <si>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</si>
  <si>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</si>
  <si>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</si>
  <si>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</si>
  <si>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</si>
  <si>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</si>
  <si>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</si>
  <si>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</si>
  <si>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</si>
  <si>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</si>
  <si>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</si>
  <si>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</si>
  <si>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</si>
  <si>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</si>
  <si>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</si>
  <si>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</si>
  <si>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</si>
  <si>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</si>
  <si>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</si>
  <si>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</si>
  <si>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</si>
  <si>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</si>
  <si>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</si>
  <si>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</si>
  <si>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</si>
  <si>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</si>
  <si>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</si>
  <si>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</si>
  <si>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</si>
  <si>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</si>
  <si>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</si>
  <si>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</si>
  <si>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</si>
  <si>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</si>
  <si>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</si>
  <si>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</si>
  <si>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</si>
  <si>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</si>
  <si>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</si>
  <si>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</si>
  <si>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</si>
  <si>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</si>
  <si>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</si>
  <si>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</si>
  <si>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</si>
  <si>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</si>
  <si>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</si>
  <si>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</si>
  <si>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</si>
  <si>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</si>
  <si>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</si>
  <si>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</si>
  <si>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</si>
  <si>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</si>
  <si>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</si>
  <si>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</si>
  <si>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</si>
  <si>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</si>
  <si>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</si>
  <si>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</si>
  <si>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</si>
  <si>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</si>
  <si>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</si>
  <si>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</si>
  <si>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</si>
  <si>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</si>
  <si>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</si>
  <si>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</si>
  <si>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</si>
  <si>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</si>
  <si>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</si>
  <si>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</si>
  <si>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</si>
  <si>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</si>
  <si>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</si>
  <si>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</si>
  <si>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</si>
  <si>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</si>
  <si>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</si>
  <si>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</si>
  <si>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</si>
  <si>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</si>
  <si>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</si>
  <si>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</si>
  <si>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</si>
  <si>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</si>
  <si>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</si>
  <si>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</si>
  <si>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</si>
  <si>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</si>
  <si>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</si>
  <si>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</si>
  <si>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</si>
  <si>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</si>
  <si>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</si>
  <si>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</si>
  <si>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</si>
  <si>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</si>
  <si>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</si>
  <si>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</si>
  <si>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</si>
  <si>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</si>
  <si>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</si>
  <si>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</si>
  <si>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</si>
  <si>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</si>
  <si>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</si>
  <si>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</si>
  <si>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</si>
  <si>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</si>
  <si>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</si>
  <si>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</si>
  <si>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</si>
  <si>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</si>
  <si>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</si>
  <si>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</si>
  <si>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</si>
  <si>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</si>
  <si>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</si>
  <si>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</si>
  <si>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</si>
  <si>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</si>
  <si>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</si>
  <si>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</si>
  <si>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</si>
  <si>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</si>
  <si>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</si>
  <si>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</si>
  <si>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</si>
  <si>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</si>
  <si>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</si>
  <si>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</si>
  <si>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</si>
  <si>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</si>
  <si>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</si>
  <si>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</si>
  <si>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</si>
  <si>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</si>
  <si>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</si>
  <si>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</si>
  <si>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</si>
  <si>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</si>
  <si>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</si>
  <si>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</si>
  <si>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</si>
  <si>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</si>
  <si>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</si>
  <si>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</si>
  <si>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</si>
  <si>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</si>
  <si>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</si>
  <si>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</si>
  <si>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</si>
  <si>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</si>
  <si>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</si>
  <si>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</si>
  <si>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</si>
  <si>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</si>
  <si>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</si>
  <si>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</si>
  <si>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</si>
  <si>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</si>
  <si>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</si>
  <si>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</si>
  <si>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</si>
  <si>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</si>
  <si>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</si>
  <si>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</si>
  <si>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</si>
  <si>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</si>
  <si>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</si>
  <si>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</si>
  <si>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</si>
  <si>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</si>
  <si>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</si>
  <si>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</si>
  <si>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</si>
  <si>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</si>
  <si>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</si>
  <si>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</si>
  <si>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</si>
  <si>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</si>
  <si>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</si>
  <si>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</si>
  <si>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</si>
  <si>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</si>
  <si>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</si>
  <si>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</si>
  <si>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</si>
  <si>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</si>
  <si>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</si>
  <si>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</si>
  <si>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</si>
  <si>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</si>
  <si>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</si>
  <si>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</si>
  <si>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</si>
  <si>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</si>
  <si>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</si>
  <si>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</si>
  <si>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</si>
  <si>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</si>
  <si>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</si>
  <si>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</si>
  <si>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</si>
  <si>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</si>
  <si>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</si>
  <si>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</si>
  <si>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</si>
  <si>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</si>
  <si>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</si>
  <si>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</si>
  <si>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</si>
  <si>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</si>
  <si>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</si>
  <si>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</si>
  <si>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</si>
  <si>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</si>
  <si>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</si>
  <si>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</si>
  <si>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</si>
  <si>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</si>
  <si>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</si>
  <si>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</si>
  <si>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</si>
  <si>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</si>
  <si>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</si>
  <si>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</si>
  <si>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</si>
  <si>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</si>
  <si>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</si>
  <si>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</si>
  <si>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</si>
  <si>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</si>
  <si>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</si>
  <si>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</si>
  <si>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</si>
  <si>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</si>
  <si>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</si>
  <si>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</si>
  <si>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</si>
  <si>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</si>
  <si>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</si>
  <si>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</si>
  <si>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</si>
  <si>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</si>
  <si>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</si>
  <si>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</si>
  <si>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</si>
  <si>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</si>
  <si>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</si>
  <si>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</si>
  <si>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</si>
  <si>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</si>
  <si>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</si>
  <si>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</si>
  <si>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</si>
  <si>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</si>
  <si>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</si>
  <si>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</si>
  <si>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</si>
  <si>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</si>
  <si>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</si>
  <si>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</si>
  <si>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</si>
  <si>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</si>
  <si>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</si>
  <si>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</si>
  <si>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</si>
  <si>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</si>
  <si>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</si>
  <si>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</si>
  <si>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</si>
  <si>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</si>
  <si>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</si>
  <si>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</si>
  <si>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</si>
  <si>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</si>
  <si>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</si>
  <si>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</si>
  <si>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</si>
  <si>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</si>
  <si>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</si>
  <si>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</si>
  <si>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</si>
  <si>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</si>
  <si>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</si>
  <si>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</si>
  <si>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</si>
  <si>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</si>
  <si>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</si>
  <si>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</si>
  <si>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</si>
  <si>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</si>
  <si>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</si>
  <si>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</si>
  <si>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</si>
  <si>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</si>
  <si>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</si>
  <si>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</si>
  <si>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</si>
  <si>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</si>
  <si>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</si>
  <si>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</si>
  <si>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</si>
  <si>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</si>
  <si>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</si>
  <si>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</si>
  <si>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</si>
  <si>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</si>
  <si>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</si>
  <si>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</si>
  <si>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</si>
  <si>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</si>
  <si>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</si>
  <si>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</si>
  <si>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</si>
  <si>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</si>
  <si>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</si>
  <si>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</si>
  <si>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</si>
  <si>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</si>
  <si>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</si>
  <si>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</si>
  <si>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</si>
  <si>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</si>
  <si>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</si>
  <si>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</si>
  <si>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</si>
  <si>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</si>
  <si>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</si>
  <si>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</si>
  <si>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</si>
  <si>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</si>
  <si>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</si>
  <si>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</si>
  <si>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</si>
  <si>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</si>
  <si>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</si>
  <si>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</si>
  <si>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</si>
  <si>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</si>
  <si>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</si>
  <si>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</si>
  <si>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</si>
  <si>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</si>
  <si>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</si>
  <si>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</si>
  <si>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</si>
  <si>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</si>
  <si>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</si>
  <si>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</si>
  <si>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</si>
  <si>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</si>
  <si>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</si>
  <si>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</si>
  <si>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</si>
  <si>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</si>
  <si>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</si>
  <si>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</si>
  <si>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</si>
  <si>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</si>
  <si>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</si>
  <si>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</si>
  <si>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</si>
  <si>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</si>
  <si>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</si>
  <si>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</si>
  <si>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</si>
  <si>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</si>
  <si>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</si>
  <si>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</si>
  <si>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</si>
  <si>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</si>
  <si>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</si>
  <si>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</si>
  <si>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</si>
  <si>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</si>
  <si>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</si>
  <si>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</si>
  <si>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</si>
  <si>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</si>
  <si>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</si>
  <si>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</si>
  <si>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</si>
  <si>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</si>
  <si>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</si>
  <si>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</si>
  <si>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</si>
  <si>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</si>
  <si>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</si>
  <si>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</si>
  <si>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</si>
  <si>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</si>
  <si>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</si>
  <si>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</si>
  <si>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</si>
  <si>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</si>
  <si>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</si>
  <si>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</si>
  <si>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</si>
  <si>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</si>
  <si>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</si>
  <si>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</si>
  <si>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</si>
  <si>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</si>
  <si>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</si>
  <si>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</si>
  <si>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</si>
  <si>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</si>
  <si>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</si>
  <si>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</si>
  <si>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</si>
  <si>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</si>
  <si>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</si>
  <si>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</si>
  <si>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</si>
  <si>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</si>
  <si>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</si>
  <si>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</si>
  <si>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</si>
  <si>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</si>
  <si>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</si>
  <si>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</si>
  <si>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</si>
  <si>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</si>
  <si>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</si>
  <si>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</si>
  <si>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</si>
  <si>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</si>
  <si>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</si>
  <si>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</si>
  <si>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</si>
  <si>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</si>
  <si>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</si>
  <si>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</si>
  <si>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</si>
  <si>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</si>
  <si>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</si>
  <si>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</si>
  <si>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</si>
  <si>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</si>
  <si>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</si>
  <si>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</si>
  <si>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</si>
  <si>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</si>
  <si>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</si>
  <si>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</si>
  <si>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</si>
  <si>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</si>
  <si>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</si>
  <si>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</si>
  <si>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</si>
  <si>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</si>
  <si>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</si>
  <si>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</si>
  <si>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</si>
  <si>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</si>
  <si>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</si>
  <si>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</si>
  <si>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</si>
  <si>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</si>
  <si>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</si>
  <si>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</si>
  <si>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</si>
  <si>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</si>
  <si>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</si>
  <si>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</si>
  <si>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</si>
  <si>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</si>
  <si>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</si>
  <si>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</si>
  <si>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</si>
  <si>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</si>
  <si>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</si>
  <si>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</si>
  <si>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</si>
  <si>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</si>
  <si>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</si>
  <si>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</si>
  <si>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</si>
  <si>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</si>
  <si>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</si>
  <si>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</si>
  <si>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</si>
  <si>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</si>
  <si>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</si>
  <si>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</si>
  <si>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</si>
  <si>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</si>
  <si>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</si>
  <si>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</si>
  <si>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</si>
  <si>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</si>
  <si>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</si>
  <si>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</si>
  <si>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</si>
  <si>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</si>
  <si>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</si>
  <si>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</si>
  <si>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</si>
  <si>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</si>
  <si>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</si>
  <si>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</si>
  <si>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</si>
  <si>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</si>
  <si>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</si>
  <si>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</si>
  <si>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</si>
  <si>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</si>
  <si>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</si>
  <si>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</si>
  <si>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</si>
  <si>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</si>
  <si>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</si>
  <si>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</si>
  <si>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</si>
  <si>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</si>
  <si>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</si>
  <si>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</si>
  <si>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</si>
  <si>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</si>
  <si>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</si>
  <si>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</si>
  <si>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</si>
  <si>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</si>
  <si>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</si>
  <si>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</si>
  <si>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</si>
  <si>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</si>
  <si>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</si>
  <si>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</si>
  <si>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</si>
  <si>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</si>
  <si>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</si>
  <si>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</si>
  <si>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</si>
  <si>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</si>
  <si>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</si>
  <si>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</si>
  <si>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</si>
  <si>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</si>
  <si>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</si>
  <si>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</si>
  <si>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</si>
  <si>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</si>
  <si>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</si>
  <si>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</si>
  <si>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</si>
  <si>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</si>
  <si>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</si>
  <si>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</si>
  <si>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</si>
  <si>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</si>
  <si>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</si>
  <si>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</si>
  <si>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</si>
  <si>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</si>
  <si>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</si>
  <si>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</si>
  <si>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</si>
  <si>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</si>
  <si>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</si>
  <si>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</si>
  <si>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</si>
  <si>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</si>
  <si>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</si>
  <si>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</si>
  <si>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</si>
  <si>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</si>
  <si>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</si>
  <si>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</si>
  <si>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</si>
  <si>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</si>
  <si>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</si>
  <si>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</si>
  <si>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</si>
  <si>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</si>
  <si>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</si>
  <si>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</si>
  <si>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</si>
  <si>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</si>
  <si>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</si>
  <si>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</si>
  <si>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</si>
  <si>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</si>
  <si>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</si>
  <si>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</si>
  <si>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</si>
  <si>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</si>
  <si>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</si>
  <si>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</si>
  <si>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</si>
  <si>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</si>
  <si>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</si>
  <si>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</si>
  <si>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</si>
  <si>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</si>
  <si>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</si>
  <si>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</si>
  <si>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</si>
  <si>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</si>
  <si>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</si>
  <si>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</si>
  <si>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</si>
  <si>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</si>
  <si>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</si>
  <si>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</si>
  <si>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</si>
  <si>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</si>
  <si>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</si>
  <si>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</si>
  <si>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</si>
  <si>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</si>
  <si>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</si>
  <si>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</si>
  <si>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</si>
  <si>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</si>
  <si>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</si>
  <si>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</si>
  <si>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</si>
  <si>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</si>
  <si>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</si>
  <si>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</si>
  <si>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</si>
  <si>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</si>
  <si>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</si>
  <si>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</si>
  <si>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</si>
  <si>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</si>
  <si>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</si>
  <si>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</si>
  <si>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</si>
  <si>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</si>
  <si>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</si>
  <si>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</si>
  <si>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</si>
  <si>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</si>
  <si>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</si>
  <si>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</si>
  <si>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</si>
  <si>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</si>
  <si>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</si>
  <si>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</si>
  <si>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</si>
  <si>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</si>
  <si>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</si>
  <si>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</si>
  <si>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</si>
  <si>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</si>
  <si>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</si>
  <si>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</si>
  <si>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</si>
  <si>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</si>
  <si>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</si>
  <si>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</si>
  <si>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</si>
  <si>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</si>
  <si>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</si>
  <si>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</si>
  <si>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</si>
  <si>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</si>
  <si>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</si>
  <si>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</si>
  <si>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</si>
  <si>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</si>
  <si>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</si>
  <si>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</si>
  <si>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</si>
  <si>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</si>
  <si>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</si>
  <si>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</si>
  <si>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</si>
  <si>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</si>
  <si>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</si>
  <si>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</si>
  <si>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</si>
  <si>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</si>
  <si>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</si>
  <si>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</si>
  <si>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</si>
  <si>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</si>
  <si>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</si>
  <si>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</si>
  <si>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</si>
  <si>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</si>
  <si>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</si>
  <si>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</si>
  <si>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</si>
  <si>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</si>
  <si>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</si>
  <si>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</si>
  <si>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</si>
  <si>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</si>
  <si>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</si>
  <si>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</si>
  <si>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</si>
  <si>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</si>
  <si>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</si>
  <si>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</si>
  <si>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</si>
  <si>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24041</t>
  </si>
  <si>
    <t>HOEGAARDEN</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</si>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</sst>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034FDB9-BA57-437F-B81F-CF6F5E6EFF5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60686.761875322263</c:v>
                </c:pt>
                <c:pt idx="1">
                  <c:v>12531.041417906268</c:v>
                </c:pt>
                <c:pt idx="2">
                  <c:v>369.07499999999999</c:v>
                </c:pt>
                <c:pt idx="3">
                  <c:v>3009.912458696363</c:v>
                </c:pt>
                <c:pt idx="4">
                  <c:v>38753.607921042494</c:v>
                </c:pt>
                <c:pt idx="5">
                  <c:v>132100.68466509387</c:v>
                </c:pt>
                <c:pt idx="6">
                  <c:v>419.17901776224733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60686.761875322263</c:v>
                </c:pt>
                <c:pt idx="1">
                  <c:v>12531.041417906268</c:v>
                </c:pt>
                <c:pt idx="2">
                  <c:v>369.07499999999999</c:v>
                </c:pt>
                <c:pt idx="3">
                  <c:v>3009.912458696363</c:v>
                </c:pt>
                <c:pt idx="4">
                  <c:v>38753.607921042494</c:v>
                </c:pt>
                <c:pt idx="5">
                  <c:v>132100.68466509387</c:v>
                </c:pt>
                <c:pt idx="6">
                  <c:v>419.17901776224733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12281.053360997264</c:v>
                </c:pt>
                <c:pt idx="2">
                  <c:v>2535.9204122743909</c:v>
                </c:pt>
                <c:pt idx="3">
                  <c:v>74.558987615984861</c:v>
                </c:pt>
                <c:pt idx="4">
                  <c:v>769.52810598046244</c:v>
                </c:pt>
                <c:pt idx="5">
                  <c:v>7689.7907724980241</c:v>
                </c:pt>
                <c:pt idx="6">
                  <c:v>33084.82896676875</c:v>
                </c:pt>
                <c:pt idx="7">
                  <c:v>105.6158430692745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12281.053360997264</c:v>
                </c:pt>
                <c:pt idx="2">
                  <c:v>2535.9204122743909</c:v>
                </c:pt>
                <c:pt idx="3">
                  <c:v>74.558987615984861</c:v>
                </c:pt>
                <c:pt idx="4">
                  <c:v>769.52810598046244</c:v>
                </c:pt>
                <c:pt idx="5">
                  <c:v>7689.7907724980241</c:v>
                </c:pt>
                <c:pt idx="6">
                  <c:v>33084.82896676875</c:v>
                </c:pt>
                <c:pt idx="7">
                  <c:v>105.6158430692745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24041</v>
      </c>
      <c r="B6" s="380"/>
      <c r="C6" s="381"/>
    </row>
    <row r="7" spans="1:7" s="378" customFormat="1" ht="15.75" customHeight="1">
      <c r="A7" s="382" t="str">
        <f>txtMunicipality</f>
        <v>HOEGAARDEN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0.20201581688270639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0.20201581688270639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2778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2559.61</v>
      </c>
      <c r="C14" s="322"/>
      <c r="D14" s="322"/>
      <c r="E14" s="322"/>
      <c r="F14" s="322"/>
    </row>
    <row r="15" spans="1:6">
      <c r="A15" s="1248" t="s">
        <v>177</v>
      </c>
      <c r="B15" s="1249">
        <v>2</v>
      </c>
      <c r="C15" s="322"/>
      <c r="D15" s="322"/>
      <c r="E15" s="322"/>
      <c r="F15" s="322"/>
    </row>
    <row r="16" spans="1:6">
      <c r="A16" s="1248" t="s">
        <v>6</v>
      </c>
      <c r="B16" s="1249">
        <v>89</v>
      </c>
      <c r="C16" s="322"/>
      <c r="D16" s="322"/>
      <c r="E16" s="322"/>
      <c r="F16" s="322"/>
    </row>
    <row r="17" spans="1:6">
      <c r="A17" s="1248" t="s">
        <v>7</v>
      </c>
      <c r="B17" s="1249">
        <v>310</v>
      </c>
      <c r="C17" s="322"/>
      <c r="D17" s="322"/>
      <c r="E17" s="322"/>
      <c r="F17" s="322"/>
    </row>
    <row r="18" spans="1:6">
      <c r="A18" s="1248" t="s">
        <v>8</v>
      </c>
      <c r="B18" s="1249">
        <v>371</v>
      </c>
      <c r="C18" s="322"/>
      <c r="D18" s="322"/>
      <c r="E18" s="322"/>
      <c r="F18" s="322"/>
    </row>
    <row r="19" spans="1:6">
      <c r="A19" s="1248" t="s">
        <v>9</v>
      </c>
      <c r="B19" s="1249">
        <v>407</v>
      </c>
      <c r="C19" s="322"/>
      <c r="D19" s="322"/>
      <c r="E19" s="322"/>
      <c r="F19" s="322"/>
    </row>
    <row r="20" spans="1:6">
      <c r="A20" s="1248" t="s">
        <v>10</v>
      </c>
      <c r="B20" s="1249">
        <v>196</v>
      </c>
      <c r="C20" s="322"/>
      <c r="D20" s="322"/>
      <c r="E20" s="322"/>
      <c r="F20" s="322"/>
    </row>
    <row r="21" spans="1:6">
      <c r="A21" s="1248" t="s">
        <v>11</v>
      </c>
      <c r="B21" s="1249">
        <v>2349</v>
      </c>
      <c r="C21" s="322"/>
      <c r="D21" s="322"/>
      <c r="E21" s="322"/>
      <c r="F21" s="322"/>
    </row>
    <row r="22" spans="1:6">
      <c r="A22" s="1248" t="s">
        <v>12</v>
      </c>
      <c r="B22" s="1249">
        <v>3237</v>
      </c>
      <c r="C22" s="322"/>
      <c r="D22" s="322"/>
      <c r="E22" s="322"/>
      <c r="F22" s="322"/>
    </row>
    <row r="23" spans="1:6">
      <c r="A23" s="1248" t="s">
        <v>13</v>
      </c>
      <c r="B23" s="1249">
        <v>57</v>
      </c>
      <c r="C23" s="322"/>
      <c r="D23" s="322"/>
      <c r="E23" s="322"/>
      <c r="F23" s="322"/>
    </row>
    <row r="24" spans="1:6">
      <c r="A24" s="1248" t="s">
        <v>14</v>
      </c>
      <c r="B24" s="1249">
        <v>6</v>
      </c>
      <c r="C24" s="322"/>
      <c r="D24" s="322"/>
      <c r="E24" s="322"/>
      <c r="F24" s="322"/>
    </row>
    <row r="25" spans="1:6">
      <c r="A25" s="1248" t="s">
        <v>15</v>
      </c>
      <c r="B25" s="1249">
        <v>911</v>
      </c>
      <c r="C25" s="322"/>
      <c r="D25" s="322"/>
      <c r="E25" s="322"/>
      <c r="F25" s="322"/>
    </row>
    <row r="26" spans="1:6">
      <c r="A26" s="1248" t="s">
        <v>16</v>
      </c>
      <c r="B26" s="1249">
        <v>94</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30</v>
      </c>
      <c r="C29" s="322"/>
      <c r="D29" s="322"/>
      <c r="E29" s="322"/>
      <c r="F29" s="322"/>
    </row>
    <row r="30" spans="1:6">
      <c r="A30" s="1243" t="s">
        <v>692</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2047</v>
      </c>
    </row>
    <row r="39" spans="1:6">
      <c r="A39" s="1248" t="s">
        <v>29</v>
      </c>
      <c r="B39" s="1248" t="s">
        <v>30</v>
      </c>
      <c r="C39" s="1249">
        <v>1878</v>
      </c>
      <c r="D39" s="1249">
        <v>33946641.161431499</v>
      </c>
      <c r="E39" s="1249">
        <v>2718</v>
      </c>
      <c r="F39" s="1249">
        <v>10214331.2931384</v>
      </c>
    </row>
    <row r="40" spans="1:6">
      <c r="A40" s="1248" t="s">
        <v>29</v>
      </c>
      <c r="B40" s="1248" t="s">
        <v>28</v>
      </c>
      <c r="C40" s="1249">
        <v>0</v>
      </c>
      <c r="D40" s="1249">
        <v>0</v>
      </c>
      <c r="E40" s="1249">
        <v>0</v>
      </c>
      <c r="F40" s="1249">
        <v>0</v>
      </c>
    </row>
    <row r="41" spans="1:6">
      <c r="A41" s="1248" t="s">
        <v>31</v>
      </c>
      <c r="B41" s="1248" t="s">
        <v>32</v>
      </c>
      <c r="C41" s="1249">
        <v>7</v>
      </c>
      <c r="D41" s="1249">
        <v>112857.466594905</v>
      </c>
      <c r="E41" s="1249">
        <v>24</v>
      </c>
      <c r="F41" s="1249">
        <v>96397.212150352105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44496.701108730304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21</v>
      </c>
      <c r="D48" s="1249">
        <v>825309.163614408</v>
      </c>
      <c r="E48" s="1249">
        <v>19</v>
      </c>
      <c r="F48" s="1249">
        <v>2653020.26630195</v>
      </c>
    </row>
    <row r="49" spans="1:6">
      <c r="A49" s="1248" t="s">
        <v>31</v>
      </c>
      <c r="B49" s="1248" t="s">
        <v>39</v>
      </c>
      <c r="C49" s="1249">
        <v>0</v>
      </c>
      <c r="D49" s="1249">
        <v>0</v>
      </c>
      <c r="E49" s="1249">
        <v>0</v>
      </c>
      <c r="F49" s="1249">
        <v>0</v>
      </c>
    </row>
    <row r="50" spans="1:6">
      <c r="A50" s="1248" t="s">
        <v>31</v>
      </c>
      <c r="B50" s="1248" t="s">
        <v>40</v>
      </c>
      <c r="C50" s="1249">
        <v>9</v>
      </c>
      <c r="D50" s="1249">
        <v>26031277.647413101</v>
      </c>
      <c r="E50" s="1249">
        <v>7</v>
      </c>
      <c r="F50" s="1249">
        <v>8578830.2984615006</v>
      </c>
    </row>
    <row r="51" spans="1:6">
      <c r="A51" s="1248" t="s">
        <v>41</v>
      </c>
      <c r="B51" s="1248" t="s">
        <v>42</v>
      </c>
      <c r="C51" s="1249">
        <v>8</v>
      </c>
      <c r="D51" s="1249">
        <v>114802.807261323</v>
      </c>
      <c r="E51" s="1249">
        <v>41</v>
      </c>
      <c r="F51" s="1249">
        <v>389748.185849378</v>
      </c>
    </row>
    <row r="52" spans="1:6">
      <c r="A52" s="1248" t="s">
        <v>41</v>
      </c>
      <c r="B52" s="1248" t="s">
        <v>28</v>
      </c>
      <c r="C52" s="1249">
        <v>3</v>
      </c>
      <c r="D52" s="1249">
        <v>40991.350725661003</v>
      </c>
      <c r="E52" s="1249">
        <v>8</v>
      </c>
      <c r="F52" s="1249">
        <v>185897.770067312</v>
      </c>
    </row>
    <row r="53" spans="1:6">
      <c r="A53" s="1248" t="s">
        <v>43</v>
      </c>
      <c r="B53" s="1248" t="s">
        <v>44</v>
      </c>
      <c r="C53" s="1249">
        <v>53</v>
      </c>
      <c r="D53" s="1249">
        <v>1314485.4525659001</v>
      </c>
      <c r="E53" s="1249">
        <v>105</v>
      </c>
      <c r="F53" s="1249">
        <v>657770.91390550602</v>
      </c>
    </row>
    <row r="54" spans="1:6">
      <c r="A54" s="1248" t="s">
        <v>45</v>
      </c>
      <c r="B54" s="1248" t="s">
        <v>46</v>
      </c>
      <c r="C54" s="1249">
        <v>0</v>
      </c>
      <c r="D54" s="1249">
        <v>0</v>
      </c>
      <c r="E54" s="1249">
        <v>1</v>
      </c>
      <c r="F54" s="1249">
        <v>369075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v>
      </c>
      <c r="D57" s="1249">
        <v>179792.33481863199</v>
      </c>
      <c r="E57" s="1249">
        <v>19</v>
      </c>
      <c r="F57" s="1249">
        <v>122784.30999702</v>
      </c>
    </row>
    <row r="58" spans="1:6">
      <c r="A58" s="1248" t="s">
        <v>48</v>
      </c>
      <c r="B58" s="1248" t="s">
        <v>50</v>
      </c>
      <c r="C58" s="1249">
        <v>6</v>
      </c>
      <c r="D58" s="1249">
        <v>118790.095561487</v>
      </c>
      <c r="E58" s="1249">
        <v>9</v>
      </c>
      <c r="F58" s="1249">
        <v>36237.9949482312</v>
      </c>
    </row>
    <row r="59" spans="1:6">
      <c r="A59" s="1248" t="s">
        <v>48</v>
      </c>
      <c r="B59" s="1248" t="s">
        <v>51</v>
      </c>
      <c r="C59" s="1249">
        <v>18</v>
      </c>
      <c r="D59" s="1249">
        <v>833997.118661382</v>
      </c>
      <c r="E59" s="1249">
        <v>28</v>
      </c>
      <c r="F59" s="1249">
        <v>895842.18634337501</v>
      </c>
    </row>
    <row r="60" spans="1:6">
      <c r="A60" s="1248" t="s">
        <v>48</v>
      </c>
      <c r="B60" s="1248" t="s">
        <v>52</v>
      </c>
      <c r="C60" s="1249">
        <v>19</v>
      </c>
      <c r="D60" s="1249">
        <v>953274.25584217499</v>
      </c>
      <c r="E60" s="1249">
        <v>21</v>
      </c>
      <c r="F60" s="1249">
        <v>535197.84714284004</v>
      </c>
    </row>
    <row r="61" spans="1:6">
      <c r="A61" s="1248" t="s">
        <v>48</v>
      </c>
      <c r="B61" s="1248" t="s">
        <v>53</v>
      </c>
      <c r="C61" s="1249">
        <v>59</v>
      </c>
      <c r="D61" s="1249">
        <v>3244388.8283432601</v>
      </c>
      <c r="E61" s="1249">
        <v>93</v>
      </c>
      <c r="F61" s="1249">
        <v>1077942.0238535199</v>
      </c>
    </row>
    <row r="62" spans="1:6">
      <c r="A62" s="1248" t="s">
        <v>48</v>
      </c>
      <c r="B62" s="1248" t="s">
        <v>54</v>
      </c>
      <c r="C62" s="1249">
        <v>3</v>
      </c>
      <c r="D62" s="1249">
        <v>89824.753114419</v>
      </c>
      <c r="E62" s="1249">
        <v>4</v>
      </c>
      <c r="F62" s="1249">
        <v>26724.365426193399</v>
      </c>
    </row>
    <row r="63" spans="1:6">
      <c r="A63" s="1248" t="s">
        <v>48</v>
      </c>
      <c r="B63" s="1248" t="s">
        <v>28</v>
      </c>
      <c r="C63" s="1249">
        <v>76</v>
      </c>
      <c r="D63" s="1249">
        <v>2595078.7933654999</v>
      </c>
      <c r="E63" s="1249">
        <v>85</v>
      </c>
      <c r="F63" s="1249">
        <v>1628156.36214471</v>
      </c>
    </row>
    <row r="64" spans="1:6">
      <c r="A64" s="1248" t="s">
        <v>55</v>
      </c>
      <c r="B64" s="1248" t="s">
        <v>56</v>
      </c>
      <c r="C64" s="1249">
        <v>0</v>
      </c>
      <c r="D64" s="1249">
        <v>0</v>
      </c>
      <c r="E64" s="1249">
        <v>0</v>
      </c>
      <c r="F64" s="1249">
        <v>0</v>
      </c>
    </row>
    <row r="65" spans="1:6">
      <c r="A65" s="1248" t="s">
        <v>55</v>
      </c>
      <c r="B65" s="1248" t="s">
        <v>28</v>
      </c>
      <c r="C65" s="1249">
        <v>0</v>
      </c>
      <c r="D65" s="1249">
        <v>0</v>
      </c>
      <c r="E65" s="1249">
        <v>3</v>
      </c>
      <c r="F65" s="1249">
        <v>38559.582199937598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12340.519156726001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11490867</v>
      </c>
      <c r="E73" s="439"/>
      <c r="F73" s="322"/>
    </row>
    <row r="74" spans="1:6">
      <c r="A74" s="1248" t="s">
        <v>63</v>
      </c>
      <c r="B74" s="1248" t="s">
        <v>617</v>
      </c>
      <c r="C74" s="1261" t="s">
        <v>619</v>
      </c>
      <c r="D74" s="1249">
        <v>1228026.5</v>
      </c>
      <c r="E74" s="439"/>
      <c r="F74" s="322"/>
    </row>
    <row r="75" spans="1:6">
      <c r="A75" s="1248" t="s">
        <v>64</v>
      </c>
      <c r="B75" s="1248" t="s">
        <v>616</v>
      </c>
      <c r="C75" s="1261" t="s">
        <v>620</v>
      </c>
      <c r="D75" s="1249">
        <v>10455669</v>
      </c>
      <c r="E75" s="439"/>
      <c r="F75" s="322"/>
    </row>
    <row r="76" spans="1:6">
      <c r="A76" s="1248" t="s">
        <v>64</v>
      </c>
      <c r="B76" s="1248" t="s">
        <v>617</v>
      </c>
      <c r="C76" s="1261" t="s">
        <v>621</v>
      </c>
      <c r="D76" s="1249">
        <v>120516.5</v>
      </c>
      <c r="E76" s="439"/>
      <c r="F76" s="322"/>
    </row>
    <row r="77" spans="1:6">
      <c r="A77" s="1248" t="s">
        <v>65</v>
      </c>
      <c r="B77" s="1248" t="s">
        <v>616</v>
      </c>
      <c r="C77" s="1261" t="s">
        <v>622</v>
      </c>
      <c r="D77" s="1249">
        <v>112011471</v>
      </c>
      <c r="E77" s="439"/>
      <c r="F77" s="322"/>
    </row>
    <row r="78" spans="1:6">
      <c r="A78" s="1243" t="s">
        <v>65</v>
      </c>
      <c r="B78" s="1243" t="s">
        <v>617</v>
      </c>
      <c r="C78" s="1243" t="s">
        <v>623</v>
      </c>
      <c r="D78" s="1251">
        <v>13904668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114011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76.958962679180885</v>
      </c>
      <c r="C89" s="322"/>
      <c r="D89" s="322"/>
      <c r="E89" s="322"/>
      <c r="F89" s="322"/>
    </row>
    <row r="90" spans="1:6">
      <c r="A90" s="1248" t="s">
        <v>533</v>
      </c>
      <c r="B90" s="1249">
        <v>0</v>
      </c>
      <c r="C90" s="322"/>
      <c r="D90" s="322"/>
      <c r="E90" s="322"/>
      <c r="F90" s="322"/>
    </row>
    <row r="91" spans="1:6">
      <c r="A91" s="1248" t="s">
        <v>67</v>
      </c>
      <c r="B91" s="1249">
        <v>1387.2029228598271</v>
      </c>
      <c r="C91" s="322"/>
      <c r="D91" s="322"/>
      <c r="E91" s="322"/>
      <c r="F91" s="322"/>
    </row>
    <row r="92" spans="1:6">
      <c r="A92" s="1243" t="s">
        <v>68</v>
      </c>
      <c r="B92" s="1244">
        <v>346.95266930264034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1048</v>
      </c>
      <c r="C97" s="322"/>
      <c r="D97" s="322"/>
      <c r="E97" s="322"/>
      <c r="F97" s="322"/>
    </row>
    <row r="98" spans="1:6">
      <c r="A98" s="1248" t="s">
        <v>71</v>
      </c>
      <c r="B98" s="1249">
        <v>1</v>
      </c>
      <c r="C98" s="322"/>
      <c r="D98" s="322"/>
      <c r="E98" s="322"/>
      <c r="F98" s="322"/>
    </row>
    <row r="99" spans="1:6">
      <c r="A99" s="1248" t="s">
        <v>72</v>
      </c>
      <c r="B99" s="1249">
        <v>17</v>
      </c>
      <c r="C99" s="322"/>
      <c r="D99" s="322"/>
      <c r="E99" s="322"/>
      <c r="F99" s="322"/>
    </row>
    <row r="100" spans="1:6">
      <c r="A100" s="1248" t="s">
        <v>73</v>
      </c>
      <c r="B100" s="1249">
        <v>119</v>
      </c>
      <c r="C100" s="322"/>
      <c r="D100" s="322"/>
      <c r="E100" s="322"/>
      <c r="F100" s="322"/>
    </row>
    <row r="101" spans="1:6">
      <c r="A101" s="1248" t="s">
        <v>74</v>
      </c>
      <c r="B101" s="1249">
        <v>28</v>
      </c>
      <c r="C101" s="322"/>
      <c r="D101" s="322"/>
      <c r="E101" s="322"/>
      <c r="F101" s="322"/>
    </row>
    <row r="102" spans="1:6">
      <c r="A102" s="1248" t="s">
        <v>75</v>
      </c>
      <c r="B102" s="1249">
        <v>31</v>
      </c>
      <c r="C102" s="322"/>
      <c r="D102" s="322"/>
      <c r="E102" s="322"/>
      <c r="F102" s="322"/>
    </row>
    <row r="103" spans="1:6">
      <c r="A103" s="1248" t="s">
        <v>76</v>
      </c>
      <c r="B103" s="1249">
        <v>100</v>
      </c>
      <c r="C103" s="322"/>
      <c r="D103" s="322"/>
      <c r="E103" s="322"/>
      <c r="F103" s="322"/>
    </row>
    <row r="104" spans="1:6">
      <c r="A104" s="1248" t="s">
        <v>77</v>
      </c>
      <c r="B104" s="1249">
        <v>1043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12</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63</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29727.316320811919</v>
      </c>
      <c r="C3" s="43" t="s">
        <v>163</v>
      </c>
      <c r="D3" s="43"/>
      <c r="E3" s="153"/>
      <c r="F3" s="43"/>
      <c r="G3" s="43"/>
      <c r="H3" s="43"/>
      <c r="I3" s="43"/>
      <c r="J3" s="43"/>
      <c r="K3" s="96"/>
    </row>
    <row r="4" spans="1:11">
      <c r="A4" s="348" t="s">
        <v>164</v>
      </c>
      <c r="B4" s="49">
        <f>IF(ISERROR('SEAP template'!B78+'SEAP template'!C78),0,'SEAP template'!B78+'SEAP template'!C78)</f>
        <v>2553.614554841648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0.20201581688270639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1060.7142857142858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369.07499999999999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369.07499999999999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0.20201581688270639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74.558987615984861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10214.331293138399</v>
      </c>
      <c r="C5" s="17">
        <f>IF(ISERROR('Eigen informatie GS &amp; warmtenet'!B57),0,'Eigen informatie GS &amp; warmtenet'!B57)</f>
        <v>0</v>
      </c>
      <c r="D5" s="30">
        <f>(SUM(HH_hh_gas_kWh,HH_rest_gas_kWh)/1000)*0.902</f>
        <v>30619.870327611214</v>
      </c>
      <c r="E5" s="17">
        <f>B32*B41</f>
        <v>581.00556306701105</v>
      </c>
      <c r="F5" s="17">
        <f>B36*B45</f>
        <v>13467.256920152533</v>
      </c>
      <c r="G5" s="18"/>
      <c r="H5" s="17"/>
      <c r="I5" s="17"/>
      <c r="J5" s="17">
        <f>B35*B44+C35*C44</f>
        <v>69.209837811608509</v>
      </c>
      <c r="K5" s="17"/>
      <c r="L5" s="17"/>
      <c r="M5" s="17"/>
      <c r="N5" s="17">
        <f>B34*B43+C34*C43</f>
        <v>3868.368344015003</v>
      </c>
      <c r="O5" s="17">
        <f>B52*B53*B54</f>
        <v>117.25</v>
      </c>
      <c r="P5" s="17">
        <f>B60*B61*B62/1000-B60*B61*B62/1000/B63</f>
        <v>362.26666666666665</v>
      </c>
    </row>
    <row r="6" spans="1:16">
      <c r="A6" s="16" t="s">
        <v>582</v>
      </c>
      <c r="B6" s="716">
        <f>kWh_PV_kleiner_dan_10kW</f>
        <v>1387.2029228598271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11601.534215998227</v>
      </c>
      <c r="C8" s="21">
        <f>C5</f>
        <v>0</v>
      </c>
      <c r="D8" s="21">
        <f>D5</f>
        <v>30619.870327611214</v>
      </c>
      <c r="E8" s="21">
        <f>E5</f>
        <v>581.00556306701105</v>
      </c>
      <c r="F8" s="21">
        <f>F5</f>
        <v>13467.256920152533</v>
      </c>
      <c r="G8" s="21"/>
      <c r="H8" s="21"/>
      <c r="I8" s="21"/>
      <c r="J8" s="21">
        <f>J5</f>
        <v>69.209837811608509</v>
      </c>
      <c r="K8" s="21"/>
      <c r="L8" s="21">
        <f>L5</f>
        <v>0</v>
      </c>
      <c r="M8" s="21">
        <f>M5</f>
        <v>0</v>
      </c>
      <c r="N8" s="21">
        <f>N5</f>
        <v>3868.368344015003</v>
      </c>
      <c r="O8" s="21">
        <f>O5</f>
        <v>117.25</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0.20201581688270639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2343.6934117375504</v>
      </c>
      <c r="C12" s="23">
        <f ca="1">C10*C8</f>
        <v>0</v>
      </c>
      <c r="D12" s="23">
        <f>D8*D10</f>
        <v>6185.2138061774658</v>
      </c>
      <c r="E12" s="23">
        <f>E10*E8</f>
        <v>131.88826281621152</v>
      </c>
      <c r="F12" s="23">
        <f>F10*F8</f>
        <v>3595.7575976807266</v>
      </c>
      <c r="G12" s="23"/>
      <c r="H12" s="23"/>
      <c r="I12" s="23"/>
      <c r="J12" s="23">
        <f>J10*J8</f>
        <v>24.50028258530941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2778</v>
      </c>
      <c r="C26" s="36"/>
      <c r="D26" s="224"/>
    </row>
    <row r="27" spans="1:5" s="15" customFormat="1">
      <c r="A27" s="226" t="s">
        <v>736</v>
      </c>
      <c r="B27" s="37">
        <f>SUM(HH_hh_gas_aantal,HH_rest_gas_aantal)</f>
        <v>1878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1784.1</v>
      </c>
      <c r="C31" s="34" t="s">
        <v>104</v>
      </c>
      <c r="D31" s="170"/>
    </row>
    <row r="32" spans="1:5">
      <c r="A32" s="167" t="s">
        <v>72</v>
      </c>
      <c r="B32" s="33">
        <f>IF((B21*($B$26-($B$27-0.05*$B$27)-$B$60))&lt;0,0,B21*($B$26-($B$27-0.05*$B$27)-$B$60))</f>
        <v>10.73641093415899</v>
      </c>
      <c r="C32" s="34" t="s">
        <v>104</v>
      </c>
      <c r="D32" s="170"/>
    </row>
    <row r="33" spans="1:6">
      <c r="A33" s="167" t="s">
        <v>73</v>
      </c>
      <c r="B33" s="33">
        <f>IF((B22*($B$26-($B$27-0.05*$B$27)-$B$60))&lt;0,0,B22*($B$26-($B$27-0.05*$B$27)-$B$60))</f>
        <v>223.21899942928192</v>
      </c>
      <c r="C33" s="34" t="s">
        <v>104</v>
      </c>
      <c r="D33" s="170"/>
    </row>
    <row r="34" spans="1:6">
      <c r="A34" s="167" t="s">
        <v>74</v>
      </c>
      <c r="B34" s="33">
        <f>IF((B24*($B$26-($B$27-0.05*$B$27)-$B$60))&lt;0,0,B24*($B$26-($B$27-0.05*$B$27)-$B$60))</f>
        <v>87.121610228136916</v>
      </c>
      <c r="C34" s="33">
        <f>B26*C24</f>
        <v>492.05224646737628</v>
      </c>
      <c r="D34" s="229"/>
    </row>
    <row r="35" spans="1:6">
      <c r="A35" s="167" t="s">
        <v>76</v>
      </c>
      <c r="B35" s="33">
        <f>IF((B19*($B$26-($B$27-0.05*$B$27)-$B$60))&lt;0,0,B19*($B$26-($B$27-0.05*$B$27)-$B$60))</f>
        <v>8.1263053626935609</v>
      </c>
      <c r="C35" s="33">
        <f>B35/2</f>
        <v>4.0631526813467804</v>
      </c>
      <c r="D35" s="229"/>
    </row>
    <row r="36" spans="1:6">
      <c r="A36" s="167" t="s">
        <v>77</v>
      </c>
      <c r="B36" s="33">
        <f>IF((B18*($B$26-($B$27-0.05*$B$27)-$B$60))&lt;0,0,B18*($B$26-($B$27-0.05*$B$27)-$B$60))</f>
        <v>645.69667404572874</v>
      </c>
      <c r="C36" s="34" t="s">
        <v>104</v>
      </c>
      <c r="D36" s="170"/>
    </row>
    <row r="37" spans="1:6">
      <c r="A37" s="167" t="s">
        <v>78</v>
      </c>
      <c r="B37" s="33">
        <f>B60</f>
        <v>19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75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4322.8850898558894</v>
      </c>
      <c r="C5" s="17">
        <f>IF(ISERROR('Eigen informatie GS &amp; warmtenet'!B58),0,'Eigen informatie GS &amp; warmtenet'!B58)</f>
        <v>0</v>
      </c>
      <c r="D5" s="30">
        <f>SUM(D6:D12)</f>
        <v>7229.6618540955842</v>
      </c>
      <c r="E5" s="17">
        <f>SUM(E6:E12)</f>
        <v>54.986282409179225</v>
      </c>
      <c r="F5" s="17">
        <f>SUM(F6:F12)</f>
        <v>710.68920675443655</v>
      </c>
      <c r="G5" s="18"/>
      <c r="H5" s="17"/>
      <c r="I5" s="17"/>
      <c r="J5" s="17">
        <f>SUM(J6:J12)</f>
        <v>4.6630493085054875E-3</v>
      </c>
      <c r="K5" s="17"/>
      <c r="L5" s="17"/>
      <c r="M5" s="17"/>
      <c r="N5" s="17">
        <f>SUM(N6:N12)</f>
        <v>193.74765507520229</v>
      </c>
      <c r="O5" s="17">
        <f>B38*B39*B40</f>
        <v>0</v>
      </c>
      <c r="P5" s="17">
        <f>B46*B47*B48/1000-B46*B47*B48/1000/B49</f>
        <v>19.066666666666666</v>
      </c>
      <c r="R5" s="32"/>
    </row>
    <row r="6" spans="1:18">
      <c r="A6" s="32" t="s">
        <v>53</v>
      </c>
      <c r="B6" s="37">
        <f>B26</f>
        <v>1077.9420238535199</v>
      </c>
      <c r="C6" s="33"/>
      <c r="D6" s="37">
        <f>IF(ISERROR(TER_kantoor_gas_kWh/1000),0,TER_kantoor_gas_kWh/1000)*0.902</f>
        <v>2926.438723165621</v>
      </c>
      <c r="E6" s="33">
        <f>$C$26*'E Balans VL '!I12/100/3.6*1000000</f>
        <v>-8.8513071308518007E-5</v>
      </c>
      <c r="F6" s="33">
        <f>$C$26*('E Balans VL '!L12+'E Balans VL '!N12)/100/3.6*1000000</f>
        <v>136.6090807959707</v>
      </c>
      <c r="G6" s="34"/>
      <c r="H6" s="33"/>
      <c r="I6" s="33"/>
      <c r="J6" s="33">
        <f>$C$26*('E Balans VL '!D12+'E Balans VL '!E12)/100/3.6*1000000</f>
        <v>0</v>
      </c>
      <c r="K6" s="33"/>
      <c r="L6" s="33"/>
      <c r="M6" s="33"/>
      <c r="N6" s="33">
        <f>$C$26*'E Balans VL '!Y12/100/3.6*1000000</f>
        <v>1.3221596517093201</v>
      </c>
      <c r="O6" s="33"/>
      <c r="P6" s="33"/>
      <c r="R6" s="32"/>
    </row>
    <row r="7" spans="1:18">
      <c r="A7" s="32" t="s">
        <v>52</v>
      </c>
      <c r="B7" s="37">
        <f t="shared" ref="B7:B12" si="0">B27</f>
        <v>535.19784714284003</v>
      </c>
      <c r="C7" s="33"/>
      <c r="D7" s="37">
        <f>IF(ISERROR(TER_horeca_gas_kWh/1000),0,TER_horeca_gas_kWh/1000)*0.902</f>
        <v>859.85337876964184</v>
      </c>
      <c r="E7" s="33">
        <f>$C$27*'E Balans VL '!I9/100/3.6*1000000</f>
        <v>6.160389327393796</v>
      </c>
      <c r="F7" s="33">
        <f>$C$27*('E Balans VL '!L9+'E Balans VL '!N9)/100/3.6*1000000</f>
        <v>69.005111883463741</v>
      </c>
      <c r="G7" s="34"/>
      <c r="H7" s="33"/>
      <c r="I7" s="33"/>
      <c r="J7" s="33">
        <f>$C$27*('E Balans VL '!D9+'E Balans VL '!E9)/100/3.6*1000000</f>
        <v>0</v>
      </c>
      <c r="K7" s="33"/>
      <c r="L7" s="33"/>
      <c r="M7" s="33"/>
      <c r="N7" s="33">
        <f>$C$27*'E Balans VL '!Y9/100/3.6*1000000</f>
        <v>5.6488906303776574</v>
      </c>
      <c r="O7" s="33"/>
      <c r="P7" s="33"/>
      <c r="R7" s="32"/>
    </row>
    <row r="8" spans="1:18">
      <c r="A8" s="6" t="s">
        <v>51</v>
      </c>
      <c r="B8" s="37">
        <f t="shared" si="0"/>
        <v>895.84218634337503</v>
      </c>
      <c r="C8" s="33"/>
      <c r="D8" s="37">
        <f>IF(ISERROR(TER_handel_gas_kWh/1000),0,TER_handel_gas_kWh/1000)*0.902</f>
        <v>752.26540103256661</v>
      </c>
      <c r="E8" s="33">
        <f>$C$28*'E Balans VL '!I13/100/3.6*1000000</f>
        <v>25.275654249624573</v>
      </c>
      <c r="F8" s="33">
        <f>$C$28*('E Balans VL '!L13+'E Balans VL '!N13)/100/3.6*1000000</f>
        <v>90.102518163073043</v>
      </c>
      <c r="G8" s="34"/>
      <c r="H8" s="33"/>
      <c r="I8" s="33"/>
      <c r="J8" s="33">
        <f>$C$28*('E Balans VL '!D13+'E Balans VL '!E13)/100/3.6*1000000</f>
        <v>0</v>
      </c>
      <c r="K8" s="33"/>
      <c r="L8" s="33"/>
      <c r="M8" s="33"/>
      <c r="N8" s="33">
        <f>$C$28*'E Balans VL '!Y13/100/3.6*1000000</f>
        <v>1.2366097938018501</v>
      </c>
      <c r="O8" s="33"/>
      <c r="P8" s="33"/>
      <c r="R8" s="32"/>
    </row>
    <row r="9" spans="1:18">
      <c r="A9" s="32" t="s">
        <v>50</v>
      </c>
      <c r="B9" s="37">
        <f t="shared" si="0"/>
        <v>36.237994948231197</v>
      </c>
      <c r="C9" s="33"/>
      <c r="D9" s="37">
        <f>IF(ISERROR(TER_gezond_gas_kWh/1000),0,TER_gezond_gas_kWh/1000)*0.902</f>
        <v>107.14866619646128</v>
      </c>
      <c r="E9" s="33">
        <f>$C$29*'E Balans VL '!I10/100/3.6*1000000</f>
        <v>7.2392357456305109E-2</v>
      </c>
      <c r="F9" s="33">
        <f>$C$29*('E Balans VL '!L10+'E Balans VL '!N10)/100/3.6*1000000</f>
        <v>3.1751752563049944</v>
      </c>
      <c r="G9" s="34"/>
      <c r="H9" s="33"/>
      <c r="I9" s="33"/>
      <c r="J9" s="33">
        <f>$C$29*('E Balans VL '!D10+'E Balans VL '!E10)/100/3.6*1000000</f>
        <v>0</v>
      </c>
      <c r="K9" s="33"/>
      <c r="L9" s="33"/>
      <c r="M9" s="33"/>
      <c r="N9" s="33">
        <f>$C$29*'E Balans VL '!Y10/100/3.6*1000000</f>
        <v>0.54815176290220724</v>
      </c>
      <c r="O9" s="33"/>
      <c r="P9" s="33"/>
      <c r="R9" s="32"/>
    </row>
    <row r="10" spans="1:18">
      <c r="A10" s="32" t="s">
        <v>49</v>
      </c>
      <c r="B10" s="37">
        <f t="shared" si="0"/>
        <v>122.78430999702</v>
      </c>
      <c r="C10" s="33"/>
      <c r="D10" s="37">
        <f>IF(ISERROR(TER_ander_gas_kWh/1000),0,TER_ander_gas_kWh/1000)*0.902</f>
        <v>162.17268600640605</v>
      </c>
      <c r="E10" s="33">
        <f>$C$30*'E Balans VL '!I14/100/3.6*1000000</f>
        <v>1.7297346364275934</v>
      </c>
      <c r="F10" s="33">
        <f>$C$30*('E Balans VL '!L14+'E Balans VL '!N14)/100/3.6*1000000</f>
        <v>74.48253664459709</v>
      </c>
      <c r="G10" s="34"/>
      <c r="H10" s="33"/>
      <c r="I10" s="33"/>
      <c r="J10" s="33">
        <f>$C$30*('E Balans VL '!D14+'E Balans VL '!E14)/100/3.6*1000000</f>
        <v>1.3479356862660518E-3</v>
      </c>
      <c r="K10" s="33"/>
      <c r="L10" s="33"/>
      <c r="M10" s="33"/>
      <c r="N10" s="33">
        <f>$C$30*'E Balans VL '!Y14/100/3.6*1000000</f>
        <v>51.929321234758213</v>
      </c>
      <c r="O10" s="33"/>
      <c r="P10" s="33"/>
      <c r="R10" s="32"/>
    </row>
    <row r="11" spans="1:18">
      <c r="A11" s="32" t="s">
        <v>54</v>
      </c>
      <c r="B11" s="37">
        <f t="shared" si="0"/>
        <v>26.724365426193398</v>
      </c>
      <c r="C11" s="33"/>
      <c r="D11" s="37">
        <f>IF(ISERROR(TER_onderwijs_gas_kWh/1000),0,TER_onderwijs_gas_kWh/1000)*0.902</f>
        <v>81.021927309205935</v>
      </c>
      <c r="E11" s="33">
        <f>$C$31*'E Balans VL '!I11/100/3.6*1000000</f>
        <v>0.69751907353678144</v>
      </c>
      <c r="F11" s="33">
        <f>$C$31*('E Balans VL '!L11+'E Balans VL '!N11)/100/3.6*1000000</f>
        <v>3.2886577323306527</v>
      </c>
      <c r="G11" s="34"/>
      <c r="H11" s="33"/>
      <c r="I11" s="33"/>
      <c r="J11" s="33">
        <f>$C$31*('E Balans VL '!D11+'E Balans VL '!E11)/100/3.6*1000000</f>
        <v>0</v>
      </c>
      <c r="K11" s="33"/>
      <c r="L11" s="33"/>
      <c r="M11" s="33"/>
      <c r="N11" s="33">
        <f>$C$31*'E Balans VL '!Y11/100/3.6*1000000</f>
        <v>8.4628180909481834E-2</v>
      </c>
      <c r="O11" s="33"/>
      <c r="P11" s="33"/>
      <c r="R11" s="32"/>
    </row>
    <row r="12" spans="1:18">
      <c r="A12" s="32" t="s">
        <v>248</v>
      </c>
      <c r="B12" s="37">
        <f t="shared" si="0"/>
        <v>1628.1563621447101</v>
      </c>
      <c r="C12" s="33"/>
      <c r="D12" s="37">
        <f>IF(ISERROR(TER_rest_gas_kWh/1000),0,TER_rest_gas_kWh/1000)*0.902</f>
        <v>2340.761071615681</v>
      </c>
      <c r="E12" s="33">
        <f>$C$32*'E Balans VL '!I8/100/3.6*1000000</f>
        <v>21.050681277811481</v>
      </c>
      <c r="F12" s="33">
        <f>$C$32*('E Balans VL '!L8+'E Balans VL '!N8)/100/3.6*1000000</f>
        <v>334.02612627869627</v>
      </c>
      <c r="G12" s="34"/>
      <c r="H12" s="33"/>
      <c r="I12" s="33"/>
      <c r="J12" s="33">
        <f>$C$32*('E Balans VL '!D8+'E Balans VL '!E8)/100/3.6*1000000</f>
        <v>3.3151136222394359E-3</v>
      </c>
      <c r="K12" s="33"/>
      <c r="L12" s="33"/>
      <c r="M12" s="33"/>
      <c r="N12" s="33">
        <f>$C$32*'E Balans VL '!Y8/100/3.6*1000000</f>
        <v>132.97789382074356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4322.8850898558894</v>
      </c>
      <c r="C16" s="21">
        <f t="shared" ca="1" si="1"/>
        <v>0</v>
      </c>
      <c r="D16" s="21">
        <f t="shared" ca="1" si="1"/>
        <v>7229.6618540955842</v>
      </c>
      <c r="E16" s="21">
        <f t="shared" si="1"/>
        <v>54.986282409179225</v>
      </c>
      <c r="F16" s="21">
        <f t="shared" ca="1" si="1"/>
        <v>710.68920675443655</v>
      </c>
      <c r="G16" s="21">
        <f t="shared" si="1"/>
        <v>0</v>
      </c>
      <c r="H16" s="21">
        <f t="shared" si="1"/>
        <v>0</v>
      </c>
      <c r="I16" s="21">
        <f t="shared" si="1"/>
        <v>0</v>
      </c>
      <c r="J16" s="21">
        <f t="shared" si="1"/>
        <v>4.6630493085054875E-3</v>
      </c>
      <c r="K16" s="21">
        <f t="shared" si="1"/>
        <v>0</v>
      </c>
      <c r="L16" s="21">
        <f t="shared" ca="1" si="1"/>
        <v>0</v>
      </c>
      <c r="M16" s="21">
        <f t="shared" si="1"/>
        <v>0</v>
      </c>
      <c r="N16" s="21">
        <f t="shared" ca="1" si="1"/>
        <v>193.74765507520229</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0.20201581688270639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873.29116271730913</v>
      </c>
      <c r="C20" s="23">
        <f t="shared" ref="C20:P20" ca="1" si="2">C16*C18</f>
        <v>0</v>
      </c>
      <c r="D20" s="23">
        <f t="shared" ca="1" si="2"/>
        <v>1460.3916945273081</v>
      </c>
      <c r="E20" s="23">
        <f t="shared" si="2"/>
        <v>12.481886106883685</v>
      </c>
      <c r="F20" s="23">
        <f t="shared" ca="1" si="2"/>
        <v>189.75401820343458</v>
      </c>
      <c r="G20" s="23">
        <f t="shared" si="2"/>
        <v>0</v>
      </c>
      <c r="H20" s="23">
        <f t="shared" si="2"/>
        <v>0</v>
      </c>
      <c r="I20" s="23">
        <f t="shared" si="2"/>
        <v>0</v>
      </c>
      <c r="J20" s="23">
        <f t="shared" si="2"/>
        <v>1.6507194552109424E-3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1077.9420238535199</v>
      </c>
      <c r="C26" s="39">
        <f>IF(ISERROR(B26*3.6/1000000/'E Balans VL '!Z12*100),0,B26*3.6/1000000/'E Balans VL '!Z12*100)</f>
        <v>2.9223934648082008E-2</v>
      </c>
      <c r="D26" s="232" t="s">
        <v>700</v>
      </c>
      <c r="F26" s="6"/>
    </row>
    <row r="27" spans="1:18">
      <c r="A27" s="227" t="s">
        <v>52</v>
      </c>
      <c r="B27" s="33">
        <f>IF(ISERROR(TER_horeca_ele_kWh/1000),0,TER_horeca_ele_kWh/1000)</f>
        <v>535.19784714284003</v>
      </c>
      <c r="C27" s="39">
        <f>IF(ISERROR(B27*3.6/1000000/'E Balans VL '!Z9*100),0,B27*3.6/1000000/'E Balans VL '!Z9*100)</f>
        <v>4.1398114888570314E-2</v>
      </c>
      <c r="D27" s="232" t="s">
        <v>700</v>
      </c>
      <c r="F27" s="6"/>
    </row>
    <row r="28" spans="1:18">
      <c r="A28" s="167" t="s">
        <v>51</v>
      </c>
      <c r="B28" s="33">
        <f>IF(ISERROR(TER_handel_ele_kWh/1000),0,TER_handel_ele_kWh/1000)</f>
        <v>895.84218634337503</v>
      </c>
      <c r="C28" s="39">
        <f>IF(ISERROR(B28*3.6/1000000/'E Balans VL '!Z13*100),0,B28*3.6/1000000/'E Balans VL '!Z13*100)</f>
        <v>2.5910072951390632E-2</v>
      </c>
      <c r="D28" s="232" t="s">
        <v>700</v>
      </c>
      <c r="F28" s="6"/>
    </row>
    <row r="29" spans="1:18">
      <c r="A29" s="227" t="s">
        <v>50</v>
      </c>
      <c r="B29" s="33">
        <f>IF(ISERROR(TER_gezond_ele_kWh/1000),0,TER_gezond_ele_kWh/1000)</f>
        <v>36.237994948231197</v>
      </c>
      <c r="C29" s="39">
        <f>IF(ISERROR(B29*3.6/1000000/'E Balans VL '!Z10*100),0,B29*3.6/1000000/'E Balans VL '!Z10*100)</f>
        <v>3.7321580941728225E-3</v>
      </c>
      <c r="D29" s="232" t="s">
        <v>700</v>
      </c>
      <c r="F29" s="6"/>
    </row>
    <row r="30" spans="1:18">
      <c r="A30" s="227" t="s">
        <v>49</v>
      </c>
      <c r="B30" s="33">
        <f>IF(ISERROR(TER_ander_ele_kWh/1000),0,TER_ander_ele_kWh/1000)</f>
        <v>122.78430999702</v>
      </c>
      <c r="C30" s="39">
        <f>IF(ISERROR(B30*3.6/1000000/'E Balans VL '!Z14*100),0,B30*3.6/1000000/'E Balans VL '!Z14*100)</f>
        <v>5.5205557116698349E-3</v>
      </c>
      <c r="D30" s="232" t="s">
        <v>700</v>
      </c>
      <c r="F30" s="6"/>
    </row>
    <row r="31" spans="1:18">
      <c r="A31" s="227" t="s">
        <v>54</v>
      </c>
      <c r="B31" s="33">
        <f>IF(ISERROR(TER_onderwijs_ele_kWh/1000),0,TER_onderwijs_ele_kWh/1000)</f>
        <v>26.724365426193398</v>
      </c>
      <c r="C31" s="39">
        <f>IF(ISERROR(B31*3.6/1000000/'E Balans VL '!Z11*100),0,B31*3.6/1000000/'E Balans VL '!Z11*100)</f>
        <v>7.4685763164482107E-3</v>
      </c>
      <c r="D31" s="232" t="s">
        <v>700</v>
      </c>
    </row>
    <row r="32" spans="1:18">
      <c r="A32" s="227" t="s">
        <v>248</v>
      </c>
      <c r="B32" s="33">
        <f>IF(ISERROR(TER_rest_ele_kWh/1000),0,TER_rest_ele_kWh/1000)</f>
        <v>1628.1563621447101</v>
      </c>
      <c r="C32" s="39">
        <f>IF(ISERROR(B32*3.6/1000000/'E Balans VL '!Z8*100),0,B32*3.6/1000000/'E Balans VL '!Z8*100)</f>
        <v>1.3577257155929431E-2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11372.744478022532</v>
      </c>
      <c r="C5" s="17">
        <f>IF(ISERROR('Eigen informatie GS &amp; warmtenet'!B59),0,'Eigen informatie GS &amp; warmtenet'!B59)</f>
        <v>0</v>
      </c>
      <c r="D5" s="30">
        <f>SUM(D6:D15)</f>
        <v>24326.438738415422</v>
      </c>
      <c r="E5" s="17">
        <f>SUM(E6:E15)</f>
        <v>162.67178761007131</v>
      </c>
      <c r="F5" s="17">
        <f>SUM(F6:F15)</f>
        <v>1079.195791769906</v>
      </c>
      <c r="G5" s="18"/>
      <c r="H5" s="17"/>
      <c r="I5" s="17"/>
      <c r="J5" s="17">
        <f>SUM(J6:J15)</f>
        <v>9.3428395102729134</v>
      </c>
      <c r="K5" s="17"/>
      <c r="L5" s="17"/>
      <c r="M5" s="17"/>
      <c r="N5" s="17">
        <f>SUM(N6:N15)</f>
        <v>321.86164579955937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44.496701108730306</v>
      </c>
      <c r="C8" s="33"/>
      <c r="D8" s="37">
        <f>IF( ISERROR(IND_metaal_Gas_kWH/1000),0,IND_metaal_Gas_kWH/1000)*0.902</f>
        <v>0</v>
      </c>
      <c r="E8" s="33">
        <f>C30*'E Balans VL '!I18/100/3.6*1000000</f>
        <v>0.40382119561202912</v>
      </c>
      <c r="F8" s="33">
        <f>C30*'E Balans VL '!L18/100/3.6*1000000+C30*'E Balans VL '!N18/100/3.6*1000000</f>
        <v>4.095569088289583</v>
      </c>
      <c r="G8" s="34"/>
      <c r="H8" s="33"/>
      <c r="I8" s="33"/>
      <c r="J8" s="40">
        <f>C30*'E Balans VL '!D18/100/3.6*1000000+C30*'E Balans VL '!E18/100/3.6*1000000</f>
        <v>0</v>
      </c>
      <c r="K8" s="33"/>
      <c r="L8" s="33"/>
      <c r="M8" s="33"/>
      <c r="N8" s="33">
        <f>C30*'E Balans VL '!Y18/100/3.6*1000000</f>
        <v>0.6496167956095088</v>
      </c>
      <c r="O8" s="33"/>
      <c r="P8" s="33"/>
      <c r="R8" s="32"/>
    </row>
    <row r="9" spans="1:18">
      <c r="A9" s="6" t="s">
        <v>32</v>
      </c>
      <c r="B9" s="37">
        <f t="shared" si="0"/>
        <v>96.397212150352104</v>
      </c>
      <c r="C9" s="33"/>
      <c r="D9" s="37">
        <f>IF( ISERROR(IND_andere_gas_kWh/1000),0,IND_andere_gas_kWh/1000)*0.902</f>
        <v>101.7974348686043</v>
      </c>
      <c r="E9" s="33">
        <f>C31*'E Balans VL '!I19/100/3.6*1000000</f>
        <v>0.55951120473223659</v>
      </c>
      <c r="F9" s="33">
        <f>C31*'E Balans VL '!L19/100/3.6*1000000+C31*'E Balans VL '!N19/100/3.6*1000000</f>
        <v>63.572878993455703</v>
      </c>
      <c r="G9" s="34"/>
      <c r="H9" s="33"/>
      <c r="I9" s="33"/>
      <c r="J9" s="40">
        <f>C31*'E Balans VL '!D19/100/3.6*1000000+C31*'E Balans VL '!E19/100/3.6*1000000</f>
        <v>0</v>
      </c>
      <c r="K9" s="33"/>
      <c r="L9" s="33"/>
      <c r="M9" s="33"/>
      <c r="N9" s="33">
        <f>C31*'E Balans VL '!Y19/100/3.6*1000000</f>
        <v>4.4642386887974208</v>
      </c>
      <c r="O9" s="33"/>
      <c r="P9" s="33"/>
      <c r="R9" s="32"/>
    </row>
    <row r="10" spans="1:18">
      <c r="A10" s="6" t="s">
        <v>40</v>
      </c>
      <c r="B10" s="37">
        <f t="shared" si="0"/>
        <v>8578.8302984615002</v>
      </c>
      <c r="C10" s="33"/>
      <c r="D10" s="37">
        <f>IF( ISERROR(IND_voed_gas_kWh/1000),0,IND_voed_gas_kWh/1000)*0.902</f>
        <v>23480.21243796662</v>
      </c>
      <c r="E10" s="33">
        <f>C32*'E Balans VL '!I20/100/3.6*1000000</f>
        <v>18.180542475919037</v>
      </c>
      <c r="F10" s="33">
        <f>C32*'E Balans VL '!L20/100/3.6*1000000+C32*'E Balans VL '!N20/100/3.6*1000000</f>
        <v>545.22010321386199</v>
      </c>
      <c r="G10" s="34"/>
      <c r="H10" s="33"/>
      <c r="I10" s="33"/>
      <c r="J10" s="40">
        <f>C32*'E Balans VL '!D20/100/3.6*1000000+C32*'E Balans VL '!E20/100/3.6*1000000</f>
        <v>0</v>
      </c>
      <c r="K10" s="33"/>
      <c r="L10" s="33"/>
      <c r="M10" s="33"/>
      <c r="N10" s="33">
        <f>C32*'E Balans VL '!Y20/100/3.6*1000000</f>
        <v>248.69078854845384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2653.02026630195</v>
      </c>
      <c r="C15" s="33"/>
      <c r="D15" s="37">
        <f>IF( ISERROR(IND_rest_gas_kWh/1000),0,IND_rest_gas_kWh/1000)*0.902</f>
        <v>744.42886558019609</v>
      </c>
      <c r="E15" s="33">
        <f>C37*'E Balans VL '!I15/100/3.6*1000000</f>
        <v>143.52791273380799</v>
      </c>
      <c r="F15" s="33">
        <f>C37*'E Balans VL '!L15/100/3.6*1000000+C37*'E Balans VL '!N15/100/3.6*1000000</f>
        <v>466.30724047429874</v>
      </c>
      <c r="G15" s="34"/>
      <c r="H15" s="33"/>
      <c r="I15" s="33"/>
      <c r="J15" s="40">
        <f>C37*'E Balans VL '!D15/100/3.6*1000000+C37*'E Balans VL '!E15/100/3.6*1000000</f>
        <v>9.3428395102729134</v>
      </c>
      <c r="K15" s="33"/>
      <c r="L15" s="33"/>
      <c r="M15" s="33"/>
      <c r="N15" s="33">
        <f>C37*'E Balans VL '!Y15/100/3.6*1000000</f>
        <v>68.057001766698562</v>
      </c>
      <c r="O15" s="33"/>
      <c r="P15" s="33"/>
      <c r="R15" s="32"/>
    </row>
    <row r="16" spans="1:18">
      <c r="A16" s="16" t="s">
        <v>473</v>
      </c>
      <c r="B16" s="242">
        <f>'lokale energieproductie'!N37+'lokale energieproductie'!N30</f>
        <v>742.5</v>
      </c>
      <c r="C16" s="242">
        <f>'lokale energieproductie'!O37+'lokale energieproductie'!O30</f>
        <v>1060.7142857142858</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-2121.4285714285716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12115.244478022532</v>
      </c>
      <c r="C18" s="21">
        <f>C5+C16</f>
        <v>1060.7142857142858</v>
      </c>
      <c r="D18" s="21">
        <f>MAX((D5+D16),0)</f>
        <v>24326.438738415422</v>
      </c>
      <c r="E18" s="21">
        <f>MAX((E5+E16),0)</f>
        <v>162.67178761007131</v>
      </c>
      <c r="F18" s="21">
        <f>MAX((F5+F16),0)</f>
        <v>1079.195791769906</v>
      </c>
      <c r="G18" s="21"/>
      <c r="H18" s="21"/>
      <c r="I18" s="21"/>
      <c r="J18" s="21">
        <f>MAX((J5+J16),0)</f>
        <v>9.3428395102729134</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0.20201581688270639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2447.4710099614199</v>
      </c>
      <c r="C22" s="23">
        <f ca="1">C18*C20</f>
        <v>0</v>
      </c>
      <c r="D22" s="23">
        <f>D18*D20</f>
        <v>4913.9406251599157</v>
      </c>
      <c r="E22" s="23">
        <f>E18*E20</f>
        <v>36.926495787486189</v>
      </c>
      <c r="F22" s="23">
        <f>F18*F20</f>
        <v>288.14527640256495</v>
      </c>
      <c r="G22" s="23"/>
      <c r="H22" s="23"/>
      <c r="I22" s="23"/>
      <c r="J22" s="23">
        <f>J18*J20</f>
        <v>3.3073651866366109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44.496701108730306</v>
      </c>
      <c r="C30" s="39">
        <f>IF(ISERROR(B30*3.6/1000000/'E Balans VL '!Z18*100),0,B30*3.6/1000000/'E Balans VL '!Z18*100)</f>
        <v>2.5805247134195602E-3</v>
      </c>
      <c r="D30" s="232" t="s">
        <v>700</v>
      </c>
    </row>
    <row r="31" spans="1:18">
      <c r="A31" s="6" t="s">
        <v>32</v>
      </c>
      <c r="B31" s="37">
        <f>IF( ISERROR(IND_ander_ele_kWh/1000),0,IND_ander_ele_kWh/1000)</f>
        <v>96.397212150352104</v>
      </c>
      <c r="C31" s="39">
        <f>IF(ISERROR(B31*3.6/1000000/'E Balans VL '!Z19*100),0,B31*3.6/1000000/'E Balans VL '!Z19*100)</f>
        <v>4.0259103300788121E-3</v>
      </c>
      <c r="D31" s="232" t="s">
        <v>700</v>
      </c>
    </row>
    <row r="32" spans="1:18">
      <c r="A32" s="167" t="s">
        <v>40</v>
      </c>
      <c r="B32" s="37">
        <f>IF( ISERROR(IND_voed_ele_kWh/1000),0,IND_voed_ele_kWh/1000)</f>
        <v>8578.8302984615002</v>
      </c>
      <c r="C32" s="39">
        <f>IF(ISERROR(B32*3.6/1000000/'E Balans VL '!Z20*100),0,B32*3.6/1000000/'E Balans VL '!Z20*100)</f>
        <v>0.26608151431488303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2653.02026630195</v>
      </c>
      <c r="C37" s="39">
        <f>IF(ISERROR(B37*3.6/1000000/'E Balans VL '!Z15*100),0,B37*3.6/1000000/'E Balans VL '!Z15*100)</f>
        <v>2.0685438704937425E-2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575.6459559166899</v>
      </c>
      <c r="C5" s="17">
        <f>'Eigen informatie GS &amp; warmtenet'!B60</f>
        <v>0</v>
      </c>
      <c r="D5" s="30">
        <f>IF(ISERROR(SUM(LB_lb_gas_kWh,LB_rest_gas_kWh)/1000),0,SUM(LB_lb_gas_kWh,LB_rest_gas_kWh)/1000)*0.902</f>
        <v>140.52633050425956</v>
      </c>
      <c r="E5" s="17">
        <f>B17*'E Balans VL '!I25/3.6*1000000/100</f>
        <v>18.681603569972989</v>
      </c>
      <c r="F5" s="17">
        <f>B17*('E Balans VL '!L25/3.6*1000000+'E Balans VL '!N25/3.6*1000000)/100</f>
        <v>2123.6696337154517</v>
      </c>
      <c r="G5" s="18"/>
      <c r="H5" s="17"/>
      <c r="I5" s="17"/>
      <c r="J5" s="17">
        <f>('E Balans VL '!D25+'E Balans VL '!E25)/3.6*1000000*landbouw!B17/100</f>
        <v>151.3889349899886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575.6459559166899</v>
      </c>
      <c r="C8" s="21">
        <f>C5+C6</f>
        <v>0</v>
      </c>
      <c r="D8" s="21">
        <f>MAX((D5+D6),0)</f>
        <v>140.52633050425956</v>
      </c>
      <c r="E8" s="21">
        <f>MAX((E5+E6),0)</f>
        <v>18.681603569972989</v>
      </c>
      <c r="F8" s="21">
        <f>MAX((F5+F6),0)</f>
        <v>2123.6696337154517</v>
      </c>
      <c r="G8" s="21"/>
      <c r="H8" s="21"/>
      <c r="I8" s="21"/>
      <c r="J8" s="21">
        <f>MAX((J5+J6),0)</f>
        <v>151.3889349899886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0.20201581688270639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116.2895880197365</v>
      </c>
      <c r="C12" s="23">
        <f ca="1">C8*C10</f>
        <v>0</v>
      </c>
      <c r="D12" s="23">
        <f>D8*D10</f>
        <v>28.386318761860434</v>
      </c>
      <c r="E12" s="23">
        <f>E8*E10</f>
        <v>4.2407240103838681</v>
      </c>
      <c r="F12" s="23">
        <f>F8*F10</f>
        <v>567.01979220202566</v>
      </c>
      <c r="G12" s="23"/>
      <c r="H12" s="23"/>
      <c r="I12" s="23"/>
      <c r="J12" s="23">
        <f>J8*J10</f>
        <v>53.591682986455965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8.1685967178686578E-2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83.47472922676738</v>
      </c>
      <c r="C26" s="242">
        <f>B26*'GWP N2O_CH4'!B5</f>
        <v>1752.969313762115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37.701541183862716</v>
      </c>
      <c r="C27" s="242">
        <f>B27*'GWP N2O_CH4'!B5</f>
        <v>791.73236486111705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1.4257026617346524</v>
      </c>
      <c r="C28" s="242">
        <f>B28*'GWP N2O_CH4'!B4</f>
        <v>441.96782513774224</v>
      </c>
      <c r="D28" s="50"/>
    </row>
    <row r="29" spans="1:4">
      <c r="A29" s="41" t="s">
        <v>265</v>
      </c>
      <c r="B29" s="242">
        <f>B34*'ha_N2O bodem landbouw'!B4</f>
        <v>16.653437951899125</v>
      </c>
      <c r="C29" s="242">
        <f>B29*'GWP N2O_CH4'!B4</f>
        <v>5162.5657650887288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3.8002571503230713E-3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2.9154055975268004E-4</v>
      </c>
      <c r="C5" s="427" t="s">
        <v>204</v>
      </c>
      <c r="D5" s="412">
        <f>SUM(D6:D11)</f>
        <v>4.1872750599630229E-4</v>
      </c>
      <c r="E5" s="412">
        <f>SUM(E6:E11)</f>
        <v>8.5754088811622136E-4</v>
      </c>
      <c r="F5" s="425" t="s">
        <v>204</v>
      </c>
      <c r="G5" s="412">
        <f>SUM(G6:G11)</f>
        <v>0.37472425709023338</v>
      </c>
      <c r="H5" s="412">
        <f>SUM(H6:H11)</f>
        <v>7.5164124880034752E-2</v>
      </c>
      <c r="I5" s="427" t="s">
        <v>204</v>
      </c>
      <c r="J5" s="427" t="s">
        <v>204</v>
      </c>
      <c r="K5" s="427" t="s">
        <v>204</v>
      </c>
      <c r="L5" s="427" t="s">
        <v>204</v>
      </c>
      <c r="M5" s="412">
        <f>SUM(M6:M11)</f>
        <v>2.4106273870204545E-2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2.0155501929177525E-5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3.4055976081629529E-5</v>
      </c>
      <c r="E6" s="818">
        <f>vkm_GW_PW*SUMIFS(TableVerdeelsleutelVkm[LPG],TableVerdeelsleutelVkm[Voertuigtype],"Lichte voertuigen")*SUMIFS(TableECFTransport[EnergieConsumptieFactor (PJ per km)],TableECFTransport[Index],CONCATENATE($A6,"_LPG_LPG"))</f>
        <v>5.9199521639989457E-5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1.7929965075477741E-2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5.904666433225729E-3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1.2214047877479738E-3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3.5917985520115669E-7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1.1536943427192244E-2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2.3017259387338185E-7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6.7405342914438277E-4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2.4252867404659625E-5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5.2465866710628282E-5</v>
      </c>
      <c r="E8" s="415">
        <f>vkm_NGW_PW*SUMIFS(TableVerdeelsleutelVkm[LPG],TableVerdeelsleutelVkm[Voertuigtype],"Lichte voertuigen")*SUMIFS(TableECFTransport[EnergieConsumptieFactor (PJ per km)],TableECFTransport[Index],CONCATENATE($A8,"_LPG_LPG"))</f>
        <v>8.7066505903028911E-5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2.462757175875202E-2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8.8866562985169262E-3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1.7005087556422359E-3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3.5249319961214351E-8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1.4527089138839562E-3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2.726520893160882E-8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8.4875413292119376E-5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2.4267084848661854E-4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3.3220566320404449E-4</v>
      </c>
      <c r="E10" s="415">
        <f>vkm_SW_PW*SUMIFS(TableVerdeelsleutelVkm[LPG],TableVerdeelsleutelVkm[Voertuigtype],"Lichte voertuigen")*SUMIFS(TableECFTransport[EnergieConsumptieFactor (PJ per km)],TableECFTransport[Index],CONCATENATE($A10,"_LPG_LPG"))</f>
        <v>7.11274860573203E-4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0.19475394116975192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6.036986222774892E-2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1.3155923424966992E-2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4.0669127570619659E-6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0.12442312674517549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2.6824827403590473E-6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7.2695080594108417E-3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80.98348882018891</v>
      </c>
      <c r="C14" s="21"/>
      <c r="D14" s="21">
        <f t="shared" ref="D14:M14" si="0">((D5)*10^9/3600)+D12</f>
        <v>116.31319611008396</v>
      </c>
      <c r="E14" s="21">
        <f t="shared" si="0"/>
        <v>238.20580225450595</v>
      </c>
      <c r="F14" s="21"/>
      <c r="G14" s="21">
        <f t="shared" si="0"/>
        <v>104090.07141395372</v>
      </c>
      <c r="H14" s="21">
        <f t="shared" si="0"/>
        <v>20878.923577787435</v>
      </c>
      <c r="I14" s="21"/>
      <c r="J14" s="21"/>
      <c r="K14" s="21"/>
      <c r="L14" s="21"/>
      <c r="M14" s="21">
        <f t="shared" si="0"/>
        <v>6696.1871861679292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0.20201581688270639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16.359945648021984</v>
      </c>
      <c r="C18" s="23"/>
      <c r="D18" s="23">
        <f t="shared" ref="D18:M18" si="1">D14*D16</f>
        <v>23.495265614236963</v>
      </c>
      <c r="E18" s="23">
        <f t="shared" si="1"/>
        <v>54.072717111772853</v>
      </c>
      <c r="F18" s="23"/>
      <c r="G18" s="23">
        <f t="shared" si="1"/>
        <v>27792.049067525644</v>
      </c>
      <c r="H18" s="23">
        <f t="shared" si="1"/>
        <v>5198.851970869071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1.5037841854389875E-5</v>
      </c>
      <c r="C50" s="311">
        <f t="shared" ref="C50:P50" si="2">SUM(C51:C52)</f>
        <v>0</v>
      </c>
      <c r="D50" s="311">
        <f t="shared" si="2"/>
        <v>0</v>
      </c>
      <c r="E50" s="311">
        <f t="shared" si="2"/>
        <v>0</v>
      </c>
      <c r="F50" s="311">
        <f t="shared" si="2"/>
        <v>0</v>
      </c>
      <c r="G50" s="311">
        <f t="shared" si="2"/>
        <v>1.4126560042809764E-3</v>
      </c>
      <c r="H50" s="311">
        <f t="shared" si="2"/>
        <v>0</v>
      </c>
      <c r="I50" s="311">
        <f t="shared" si="2"/>
        <v>0</v>
      </c>
      <c r="J50" s="311">
        <f t="shared" si="2"/>
        <v>0</v>
      </c>
      <c r="K50" s="311">
        <f t="shared" si="2"/>
        <v>0</v>
      </c>
      <c r="L50" s="311">
        <f t="shared" si="2"/>
        <v>0</v>
      </c>
      <c r="M50" s="311">
        <f t="shared" si="2"/>
        <v>8.1350617808724046E-5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1.5037841854389875E-5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1.4126560042809764E-3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8.1350617808724046E-5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4.1771782928860768</v>
      </c>
      <c r="C54" s="21">
        <f t="shared" ref="C54:P54" si="3">(C50)*10^9/3600</f>
        <v>0</v>
      </c>
      <c r="D54" s="21">
        <f t="shared" si="3"/>
        <v>0</v>
      </c>
      <c r="E54" s="21">
        <f t="shared" si="3"/>
        <v>0</v>
      </c>
      <c r="F54" s="21">
        <f t="shared" si="3"/>
        <v>0</v>
      </c>
      <c r="G54" s="21">
        <f t="shared" si="3"/>
        <v>392.40444563360455</v>
      </c>
      <c r="H54" s="21">
        <f t="shared" si="3"/>
        <v>0</v>
      </c>
      <c r="I54" s="21">
        <f t="shared" si="3"/>
        <v>0</v>
      </c>
      <c r="J54" s="21">
        <f t="shared" si="3"/>
        <v>0</v>
      </c>
      <c r="K54" s="21">
        <f t="shared" si="3"/>
        <v>0</v>
      </c>
      <c r="L54" s="21">
        <f t="shared" si="3"/>
        <v>0</v>
      </c>
      <c r="M54" s="21">
        <f t="shared" si="3"/>
        <v>22.597393835756677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0.20201581688270639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0.84385608510208976</v>
      </c>
      <c r="C58" s="23">
        <f t="shared" ref="C58:P58" ca="1" si="4">C54*C56</f>
        <v>0</v>
      </c>
      <c r="D58" s="23">
        <f t="shared" si="4"/>
        <v>0</v>
      </c>
      <c r="E58" s="23">
        <f t="shared" si="4"/>
        <v>0</v>
      </c>
      <c r="F58" s="23">
        <f t="shared" si="4"/>
        <v>0</v>
      </c>
      <c r="G58" s="23">
        <f t="shared" si="4"/>
        <v>104.77198698417241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76.958962679180885</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1734.1555921624674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742.5</v>
      </c>
      <c r="C8" s="534">
        <f>B48</f>
        <v>0</v>
      </c>
      <c r="D8" s="962"/>
      <c r="E8" s="962">
        <f>E48</f>
        <v>0</v>
      </c>
      <c r="F8" s="963"/>
      <c r="G8" s="535"/>
      <c r="H8" s="962">
        <f>I48</f>
        <v>0</v>
      </c>
      <c r="I8" s="962">
        <f>G48+F48</f>
        <v>0</v>
      </c>
      <c r="J8" s="962">
        <f>H48+D48+C48</f>
        <v>873.52941176470586</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2553.614554841648</v>
      </c>
      <c r="C10" s="547">
        <f t="shared" ref="C10:L10" si="0">SUM(C8:C9)</f>
        <v>0</v>
      </c>
      <c r="D10" s="547">
        <f t="shared" si="0"/>
        <v>0</v>
      </c>
      <c r="E10" s="547">
        <f t="shared" si="0"/>
        <v>0</v>
      </c>
      <c r="F10" s="547">
        <f t="shared" si="0"/>
        <v>0</v>
      </c>
      <c r="G10" s="547">
        <f t="shared" si="0"/>
        <v>0</v>
      </c>
      <c r="H10" s="547">
        <f t="shared" si="0"/>
        <v>0</v>
      </c>
      <c r="I10" s="547">
        <f t="shared" si="0"/>
        <v>0</v>
      </c>
      <c r="J10" s="547">
        <f t="shared" si="0"/>
        <v>873.52941176470586</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1060.7142857142858</v>
      </c>
      <c r="C17" s="559">
        <f>B49</f>
        <v>0</v>
      </c>
      <c r="D17" s="560"/>
      <c r="E17" s="560">
        <f>E49</f>
        <v>0</v>
      </c>
      <c r="F17" s="968"/>
      <c r="G17" s="561"/>
      <c r="H17" s="559">
        <f>I49</f>
        <v>0</v>
      </c>
      <c r="I17" s="560">
        <f>G49+F49</f>
        <v>0</v>
      </c>
      <c r="J17" s="560">
        <f>H49+D49+C49</f>
        <v>1247.8991596638657</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1060.7142857142858</v>
      </c>
      <c r="C20" s="546">
        <f>SUM(C17:C19)</f>
        <v>0</v>
      </c>
      <c r="D20" s="546">
        <f t="shared" ref="D20:L20" si="1">SUM(D17:D19)</f>
        <v>0</v>
      </c>
      <c r="E20" s="546">
        <f t="shared" si="1"/>
        <v>0</v>
      </c>
      <c r="F20" s="546">
        <f t="shared" si="1"/>
        <v>0</v>
      </c>
      <c r="G20" s="546">
        <f t="shared" si="1"/>
        <v>0</v>
      </c>
      <c r="H20" s="546">
        <f t="shared" si="1"/>
        <v>0</v>
      </c>
      <c r="I20" s="546">
        <f t="shared" si="1"/>
        <v>0</v>
      </c>
      <c r="J20" s="546">
        <f t="shared" si="1"/>
        <v>1247.8991596638657</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24041</v>
      </c>
      <c r="C28" s="724">
        <v>3320</v>
      </c>
      <c r="D28" s="617"/>
      <c r="E28" s="616"/>
      <c r="F28" s="616"/>
      <c r="G28" s="616" t="s">
        <v>878</v>
      </c>
      <c r="H28" s="616" t="s">
        <v>879</v>
      </c>
      <c r="I28" s="616"/>
      <c r="J28" s="723"/>
      <c r="K28" s="723"/>
      <c r="L28" s="616" t="s">
        <v>880</v>
      </c>
      <c r="M28" s="616">
        <v>165</v>
      </c>
      <c r="N28" s="616">
        <v>742.5</v>
      </c>
      <c r="O28" s="616">
        <v>1060.7142857142858</v>
      </c>
      <c r="P28" s="616">
        <v>0</v>
      </c>
      <c r="Q28" s="616">
        <v>2121.4285714285716</v>
      </c>
      <c r="R28" s="616">
        <v>0</v>
      </c>
      <c r="S28" s="616">
        <v>0</v>
      </c>
      <c r="T28" s="616">
        <v>0</v>
      </c>
      <c r="U28" s="616">
        <v>0</v>
      </c>
      <c r="V28" s="616">
        <v>0</v>
      </c>
      <c r="W28" s="616">
        <v>0</v>
      </c>
      <c r="X28" s="616"/>
      <c r="Y28" s="616">
        <v>500</v>
      </c>
      <c r="Z28" s="616" t="s">
        <v>40</v>
      </c>
      <c r="AA28" s="618" t="s">
        <v>375</v>
      </c>
    </row>
    <row r="29" spans="1:27" s="554" customFormat="1" hidden="1">
      <c r="A29" s="572" t="s">
        <v>268</v>
      </c>
      <c r="B29" s="573"/>
      <c r="C29" s="573"/>
      <c r="D29" s="573"/>
      <c r="E29" s="573"/>
      <c r="F29" s="573"/>
      <c r="G29" s="573"/>
      <c r="H29" s="573"/>
      <c r="I29" s="573"/>
      <c r="J29" s="573"/>
      <c r="K29" s="573"/>
      <c r="L29" s="574"/>
      <c r="M29" s="574">
        <f>SUM(M28:M28)</f>
        <v>165</v>
      </c>
      <c r="N29" s="574">
        <f>SUM(N28:N28)</f>
        <v>742.5</v>
      </c>
      <c r="O29" s="574">
        <f>SUM(O28:O28)</f>
        <v>1060.7142857142858</v>
      </c>
      <c r="P29" s="574">
        <f>SUM(P28:P28)</f>
        <v>0</v>
      </c>
      <c r="Q29" s="574">
        <f>SUM(Q28:Q28)</f>
        <v>2121.4285714285716</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165</v>
      </c>
      <c r="N30" s="574">
        <f>SUMIF($AA$28:$AA$28,"industrie",N28:N28)</f>
        <v>742.5</v>
      </c>
      <c r="O30" s="574">
        <f>SUMIF($AA$28:$AA$28,"industrie",O28:O28)</f>
        <v>1060.7142857142858</v>
      </c>
      <c r="P30" s="574">
        <f>SUMIF($AA$28:$AA$28,"industrie",P28:P28)</f>
        <v>0</v>
      </c>
      <c r="Q30" s="574">
        <f>SUMIF($AA$28:$AA$28,"industrie",Q28:Q28)</f>
        <v>2121.4285714285716</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873.52941176470586</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1247.8991596638657</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4691.9600898558892</v>
      </c>
      <c r="D10" s="931">
        <f ca="1">tertiair!C16</f>
        <v>0</v>
      </c>
      <c r="E10" s="931">
        <f ca="1">tertiair!D16</f>
        <v>7229.6618540955842</v>
      </c>
      <c r="F10" s="931">
        <f>tertiair!E16</f>
        <v>54.986282409179225</v>
      </c>
      <c r="G10" s="931">
        <f ca="1">tertiair!F16</f>
        <v>710.68920675443655</v>
      </c>
      <c r="H10" s="931">
        <f>tertiair!G16</f>
        <v>0</v>
      </c>
      <c r="I10" s="931">
        <f>tertiair!H16</f>
        <v>0</v>
      </c>
      <c r="J10" s="931">
        <f>tertiair!I16</f>
        <v>0</v>
      </c>
      <c r="K10" s="931">
        <f>tertiair!J16</f>
        <v>4.6630493085054875E-3</v>
      </c>
      <c r="L10" s="931">
        <f>tertiair!K16</f>
        <v>0</v>
      </c>
      <c r="M10" s="931">
        <f ca="1">tertiair!L16</f>
        <v>0</v>
      </c>
      <c r="N10" s="931">
        <f>tertiair!M16</f>
        <v>0</v>
      </c>
      <c r="O10" s="931">
        <f ca="1">tertiair!N16</f>
        <v>193.74765507520229</v>
      </c>
      <c r="P10" s="931">
        <f>tertiair!O16</f>
        <v>0</v>
      </c>
      <c r="Q10" s="932">
        <f>tertiair!P16</f>
        <v>19.066666666666666</v>
      </c>
      <c r="R10" s="628">
        <f ca="1">SUM(C10:Q10)</f>
        <v>12900.116417906267</v>
      </c>
      <c r="S10" s="67"/>
    </row>
    <row r="11" spans="1:19" s="437" customFormat="1">
      <c r="A11" s="736" t="s">
        <v>213</v>
      </c>
      <c r="B11" s="741"/>
      <c r="C11" s="931">
        <f>huishoudens!B8</f>
        <v>11601.534215998227</v>
      </c>
      <c r="D11" s="931">
        <f>huishoudens!C8</f>
        <v>0</v>
      </c>
      <c r="E11" s="931">
        <f>huishoudens!D8</f>
        <v>30619.870327611214</v>
      </c>
      <c r="F11" s="931">
        <f>huishoudens!E8</f>
        <v>581.00556306701105</v>
      </c>
      <c r="G11" s="931">
        <f>huishoudens!F8</f>
        <v>13467.256920152533</v>
      </c>
      <c r="H11" s="931">
        <f>huishoudens!G8</f>
        <v>0</v>
      </c>
      <c r="I11" s="931">
        <f>huishoudens!H8</f>
        <v>0</v>
      </c>
      <c r="J11" s="931">
        <f>huishoudens!I8</f>
        <v>0</v>
      </c>
      <c r="K11" s="931">
        <f>huishoudens!J8</f>
        <v>69.209837811608509</v>
      </c>
      <c r="L11" s="931">
        <f>huishoudens!K8</f>
        <v>0</v>
      </c>
      <c r="M11" s="931">
        <f>huishoudens!L8</f>
        <v>0</v>
      </c>
      <c r="N11" s="931">
        <f>huishoudens!M8</f>
        <v>0</v>
      </c>
      <c r="O11" s="931">
        <f>huishoudens!N8</f>
        <v>3868.368344015003</v>
      </c>
      <c r="P11" s="931">
        <f>huishoudens!O8</f>
        <v>117.25</v>
      </c>
      <c r="Q11" s="932">
        <f>huishoudens!P8</f>
        <v>362.26666666666665</v>
      </c>
      <c r="R11" s="628">
        <f>SUM(C11:Q11)</f>
        <v>60686.761875322263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12115.244478022532</v>
      </c>
      <c r="D13" s="931">
        <f>industrie!C18</f>
        <v>1060.7142857142858</v>
      </c>
      <c r="E13" s="931">
        <f>industrie!D18</f>
        <v>24326.438738415422</v>
      </c>
      <c r="F13" s="931">
        <f>industrie!E18</f>
        <v>162.67178761007131</v>
      </c>
      <c r="G13" s="931">
        <f>industrie!F18</f>
        <v>1079.195791769906</v>
      </c>
      <c r="H13" s="931">
        <f>industrie!G18</f>
        <v>0</v>
      </c>
      <c r="I13" s="931">
        <f>industrie!H18</f>
        <v>0</v>
      </c>
      <c r="J13" s="931">
        <f>industrie!I18</f>
        <v>0</v>
      </c>
      <c r="K13" s="931">
        <f>industrie!J18</f>
        <v>9.3428395102729134</v>
      </c>
      <c r="L13" s="931">
        <f>industrie!K18</f>
        <v>0</v>
      </c>
      <c r="M13" s="931">
        <f>industrie!L18</f>
        <v>0</v>
      </c>
      <c r="N13" s="931">
        <f>industrie!M18</f>
        <v>0</v>
      </c>
      <c r="O13" s="931">
        <f>industrie!N18</f>
        <v>0</v>
      </c>
      <c r="P13" s="931">
        <f>industrie!O18</f>
        <v>0</v>
      </c>
      <c r="Q13" s="932">
        <f>industrie!P18</f>
        <v>0</v>
      </c>
      <c r="R13" s="628">
        <f>SUM(C13:Q13)</f>
        <v>38753.607921042494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28408.738783876648</v>
      </c>
      <c r="D16" s="660">
        <f t="shared" ref="D16:R16" ca="1" si="0">SUM(D9:D15)</f>
        <v>1060.7142857142858</v>
      </c>
      <c r="E16" s="660">
        <f t="shared" ca="1" si="0"/>
        <v>62175.970920122214</v>
      </c>
      <c r="F16" s="660">
        <f t="shared" si="0"/>
        <v>798.6636330862616</v>
      </c>
      <c r="G16" s="660">
        <f t="shared" ca="1" si="0"/>
        <v>15257.141918676874</v>
      </c>
      <c r="H16" s="660">
        <f t="shared" si="0"/>
        <v>0</v>
      </c>
      <c r="I16" s="660">
        <f t="shared" si="0"/>
        <v>0</v>
      </c>
      <c r="J16" s="660">
        <f t="shared" si="0"/>
        <v>0</v>
      </c>
      <c r="K16" s="660">
        <f t="shared" si="0"/>
        <v>78.557340371189923</v>
      </c>
      <c r="L16" s="660">
        <f t="shared" si="0"/>
        <v>0</v>
      </c>
      <c r="M16" s="660">
        <f t="shared" ca="1" si="0"/>
        <v>0</v>
      </c>
      <c r="N16" s="660">
        <f t="shared" si="0"/>
        <v>0</v>
      </c>
      <c r="O16" s="660">
        <f t="shared" ca="1" si="0"/>
        <v>4062.1159990902052</v>
      </c>
      <c r="P16" s="660">
        <f t="shared" si="0"/>
        <v>117.25</v>
      </c>
      <c r="Q16" s="660">
        <f t="shared" si="0"/>
        <v>381.33333333333331</v>
      </c>
      <c r="R16" s="660">
        <f t="shared" ca="1" si="0"/>
        <v>112340.48621427102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4.1771782928860768</v>
      </c>
      <c r="D19" s="931">
        <f>transport!C54</f>
        <v>0</v>
      </c>
      <c r="E19" s="931">
        <f>transport!D54</f>
        <v>0</v>
      </c>
      <c r="F19" s="931">
        <f>transport!E54</f>
        <v>0</v>
      </c>
      <c r="G19" s="931">
        <f>transport!F54</f>
        <v>0</v>
      </c>
      <c r="H19" s="931">
        <f>transport!G54</f>
        <v>392.40444563360455</v>
      </c>
      <c r="I19" s="931">
        <f>transport!H54</f>
        <v>0</v>
      </c>
      <c r="J19" s="931">
        <f>transport!I54</f>
        <v>0</v>
      </c>
      <c r="K19" s="931">
        <f>transport!J54</f>
        <v>0</v>
      </c>
      <c r="L19" s="931">
        <f>transport!K54</f>
        <v>0</v>
      </c>
      <c r="M19" s="931">
        <f>transport!L54</f>
        <v>0</v>
      </c>
      <c r="N19" s="931">
        <f>transport!M54</f>
        <v>22.597393835756677</v>
      </c>
      <c r="O19" s="931">
        <f>transport!N54</f>
        <v>0</v>
      </c>
      <c r="P19" s="931">
        <f>transport!O54</f>
        <v>0</v>
      </c>
      <c r="Q19" s="932">
        <f>transport!P54</f>
        <v>0</v>
      </c>
      <c r="R19" s="628">
        <f>SUM(C19:Q19)</f>
        <v>419.17901776224733</v>
      </c>
      <c r="S19" s="67"/>
    </row>
    <row r="20" spans="1:19" s="437" customFormat="1">
      <c r="A20" s="736" t="s">
        <v>295</v>
      </c>
      <c r="B20" s="741"/>
      <c r="C20" s="931">
        <f>transport!B14</f>
        <v>80.98348882018891</v>
      </c>
      <c r="D20" s="931">
        <f>transport!C14</f>
        <v>0</v>
      </c>
      <c r="E20" s="931">
        <f>transport!D14</f>
        <v>116.31319611008396</v>
      </c>
      <c r="F20" s="931">
        <f>transport!E14</f>
        <v>238.20580225450595</v>
      </c>
      <c r="G20" s="931">
        <f>transport!F14</f>
        <v>0</v>
      </c>
      <c r="H20" s="931">
        <f>transport!G14</f>
        <v>104090.07141395372</v>
      </c>
      <c r="I20" s="931">
        <f>transport!H14</f>
        <v>20878.923577787435</v>
      </c>
      <c r="J20" s="931">
        <f>transport!I14</f>
        <v>0</v>
      </c>
      <c r="K20" s="931">
        <f>transport!J14</f>
        <v>0</v>
      </c>
      <c r="L20" s="931">
        <f>transport!K14</f>
        <v>0</v>
      </c>
      <c r="M20" s="931">
        <f>transport!L14</f>
        <v>0</v>
      </c>
      <c r="N20" s="931">
        <f>transport!M14</f>
        <v>6696.1871861679292</v>
      </c>
      <c r="O20" s="931">
        <f>transport!N14</f>
        <v>0</v>
      </c>
      <c r="P20" s="931">
        <f>transport!O14</f>
        <v>0</v>
      </c>
      <c r="Q20" s="932">
        <f>transport!P14</f>
        <v>0</v>
      </c>
      <c r="R20" s="628">
        <f>SUM(C20:Q20)</f>
        <v>132100.68466509387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85.160667113074993</v>
      </c>
      <c r="D22" s="739">
        <f t="shared" ref="D22:R22" si="1">SUM(D18:D21)</f>
        <v>0</v>
      </c>
      <c r="E22" s="739">
        <f t="shared" si="1"/>
        <v>116.31319611008396</v>
      </c>
      <c r="F22" s="739">
        <f t="shared" si="1"/>
        <v>238.20580225450595</v>
      </c>
      <c r="G22" s="739">
        <f t="shared" si="1"/>
        <v>0</v>
      </c>
      <c r="H22" s="739">
        <f t="shared" si="1"/>
        <v>104482.47585958731</v>
      </c>
      <c r="I22" s="739">
        <f t="shared" si="1"/>
        <v>20878.923577787435</v>
      </c>
      <c r="J22" s="739">
        <f t="shared" si="1"/>
        <v>0</v>
      </c>
      <c r="K22" s="739">
        <f t="shared" si="1"/>
        <v>0</v>
      </c>
      <c r="L22" s="739">
        <f t="shared" si="1"/>
        <v>0</v>
      </c>
      <c r="M22" s="739">
        <f t="shared" si="1"/>
        <v>0</v>
      </c>
      <c r="N22" s="739">
        <f t="shared" si="1"/>
        <v>6718.7845800036857</v>
      </c>
      <c r="O22" s="739">
        <f t="shared" si="1"/>
        <v>0</v>
      </c>
      <c r="P22" s="739">
        <f t="shared" si="1"/>
        <v>0</v>
      </c>
      <c r="Q22" s="739">
        <f t="shared" si="1"/>
        <v>0</v>
      </c>
      <c r="R22" s="739">
        <f t="shared" si="1"/>
        <v>132519.86368285611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575.6459559166899</v>
      </c>
      <c r="D24" s="931">
        <f>+landbouw!C8</f>
        <v>0</v>
      </c>
      <c r="E24" s="931">
        <f>+landbouw!D8</f>
        <v>140.52633050425956</v>
      </c>
      <c r="F24" s="931">
        <f>+landbouw!E8</f>
        <v>18.681603569972989</v>
      </c>
      <c r="G24" s="931">
        <f>+landbouw!F8</f>
        <v>2123.6696337154517</v>
      </c>
      <c r="H24" s="931">
        <f>+landbouw!G8</f>
        <v>0</v>
      </c>
      <c r="I24" s="931">
        <f>+landbouw!H8</f>
        <v>0</v>
      </c>
      <c r="J24" s="931">
        <f>+landbouw!I8</f>
        <v>0</v>
      </c>
      <c r="K24" s="931">
        <f>+landbouw!J8</f>
        <v>151.3889349899886</v>
      </c>
      <c r="L24" s="931">
        <f>+landbouw!K8</f>
        <v>0</v>
      </c>
      <c r="M24" s="931">
        <f>+landbouw!L8</f>
        <v>0</v>
      </c>
      <c r="N24" s="931">
        <f>+landbouw!M8</f>
        <v>0</v>
      </c>
      <c r="O24" s="931">
        <f>+landbouw!N8</f>
        <v>0</v>
      </c>
      <c r="P24" s="931">
        <f>+landbouw!O8</f>
        <v>0</v>
      </c>
      <c r="Q24" s="932">
        <f>+landbouw!P8</f>
        <v>0</v>
      </c>
      <c r="R24" s="628">
        <f>SUM(C24:Q24)</f>
        <v>3009.912458696363</v>
      </c>
      <c r="S24" s="67"/>
    </row>
    <row r="25" spans="1:19" s="437" customFormat="1" ht="15" thickBot="1">
      <c r="A25" s="758" t="s">
        <v>775</v>
      </c>
      <c r="B25" s="934"/>
      <c r="C25" s="935">
        <f>IF(Onbekend_ele_kWh="---",0,Onbekend_ele_kWh)/1000+IF(REST_rest_ele_kWh="---",0,REST_rest_ele_kWh)/1000</f>
        <v>657.77091390550606</v>
      </c>
      <c r="D25" s="935"/>
      <c r="E25" s="935">
        <f>IF(onbekend_gas_kWh="---",0,onbekend_gas_kWh)/1000+IF(REST_rest_gas_kWh="---",0,REST_rest_gas_kWh)/1000</f>
        <v>1314.4854525659</v>
      </c>
      <c r="F25" s="935"/>
      <c r="G25" s="935"/>
      <c r="H25" s="935"/>
      <c r="I25" s="935"/>
      <c r="J25" s="935"/>
      <c r="K25" s="935"/>
      <c r="L25" s="935"/>
      <c r="M25" s="935"/>
      <c r="N25" s="935"/>
      <c r="O25" s="935"/>
      <c r="P25" s="935"/>
      <c r="Q25" s="936"/>
      <c r="R25" s="628">
        <f>SUM(C25:Q25)</f>
        <v>1972.2563664714062</v>
      </c>
      <c r="S25" s="67"/>
    </row>
    <row r="26" spans="1:19" s="437" customFormat="1" ht="15.75" thickBot="1">
      <c r="A26" s="633" t="s">
        <v>776</v>
      </c>
      <c r="B26" s="744"/>
      <c r="C26" s="739">
        <f>SUM(C24:C25)</f>
        <v>1233.4168698221961</v>
      </c>
      <c r="D26" s="739">
        <f t="shared" ref="D26:R26" si="2">SUM(D24:D25)</f>
        <v>0</v>
      </c>
      <c r="E26" s="739">
        <f t="shared" si="2"/>
        <v>1455.0117830701595</v>
      </c>
      <c r="F26" s="739">
        <f t="shared" si="2"/>
        <v>18.681603569972989</v>
      </c>
      <c r="G26" s="739">
        <f t="shared" si="2"/>
        <v>2123.6696337154517</v>
      </c>
      <c r="H26" s="739">
        <f t="shared" si="2"/>
        <v>0</v>
      </c>
      <c r="I26" s="739">
        <f t="shared" si="2"/>
        <v>0</v>
      </c>
      <c r="J26" s="739">
        <f t="shared" si="2"/>
        <v>0</v>
      </c>
      <c r="K26" s="739">
        <f t="shared" si="2"/>
        <v>151.3889349899886</v>
      </c>
      <c r="L26" s="739">
        <f t="shared" si="2"/>
        <v>0</v>
      </c>
      <c r="M26" s="739">
        <f t="shared" si="2"/>
        <v>0</v>
      </c>
      <c r="N26" s="739">
        <f t="shared" si="2"/>
        <v>0</v>
      </c>
      <c r="O26" s="739">
        <f t="shared" si="2"/>
        <v>0</v>
      </c>
      <c r="P26" s="739">
        <f t="shared" si="2"/>
        <v>0</v>
      </c>
      <c r="Q26" s="739">
        <f t="shared" si="2"/>
        <v>0</v>
      </c>
      <c r="R26" s="739">
        <f t="shared" si="2"/>
        <v>4982.1688251677697</v>
      </c>
      <c r="S26" s="67"/>
    </row>
    <row r="27" spans="1:19" s="437" customFormat="1" ht="17.25" thickTop="1" thickBot="1">
      <c r="A27" s="634" t="s">
        <v>109</v>
      </c>
      <c r="B27" s="732"/>
      <c r="C27" s="635">
        <f ca="1">C22+C16+C26</f>
        <v>29727.316320811919</v>
      </c>
      <c r="D27" s="635">
        <f t="shared" ref="D27:R27" ca="1" si="3">D22+D16+D26</f>
        <v>1060.7142857142858</v>
      </c>
      <c r="E27" s="635">
        <f t="shared" ca="1" si="3"/>
        <v>63747.295899302451</v>
      </c>
      <c r="F27" s="635">
        <f t="shared" si="3"/>
        <v>1055.5510389107405</v>
      </c>
      <c r="G27" s="635">
        <f t="shared" ca="1" si="3"/>
        <v>17380.811552392326</v>
      </c>
      <c r="H27" s="635">
        <f t="shared" si="3"/>
        <v>104482.47585958731</v>
      </c>
      <c r="I27" s="635">
        <f t="shared" si="3"/>
        <v>20878.923577787435</v>
      </c>
      <c r="J27" s="635">
        <f t="shared" si="3"/>
        <v>0</v>
      </c>
      <c r="K27" s="635">
        <f t="shared" si="3"/>
        <v>229.94627536117852</v>
      </c>
      <c r="L27" s="635">
        <f t="shared" si="3"/>
        <v>0</v>
      </c>
      <c r="M27" s="635">
        <f t="shared" ca="1" si="3"/>
        <v>0</v>
      </c>
      <c r="N27" s="635">
        <f t="shared" si="3"/>
        <v>6718.7845800036857</v>
      </c>
      <c r="O27" s="635">
        <f t="shared" ca="1" si="3"/>
        <v>4062.1159990902052</v>
      </c>
      <c r="P27" s="635">
        <f t="shared" si="3"/>
        <v>117.25</v>
      </c>
      <c r="Q27" s="635">
        <f t="shared" si="3"/>
        <v>381.33333333333331</v>
      </c>
      <c r="R27" s="635">
        <f t="shared" ca="1" si="3"/>
        <v>249842.51872229489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947.85015033329398</v>
      </c>
      <c r="D40" s="931">
        <f ca="1">tertiair!C20</f>
        <v>0</v>
      </c>
      <c r="E40" s="931">
        <f ca="1">tertiair!D20</f>
        <v>1460.3916945273081</v>
      </c>
      <c r="F40" s="931">
        <f>tertiair!E20</f>
        <v>12.481886106883685</v>
      </c>
      <c r="G40" s="931">
        <f ca="1">tertiair!F20</f>
        <v>189.75401820343458</v>
      </c>
      <c r="H40" s="931">
        <f>tertiair!G20</f>
        <v>0</v>
      </c>
      <c r="I40" s="931">
        <f>tertiair!H20</f>
        <v>0</v>
      </c>
      <c r="J40" s="931">
        <f>tertiair!I20</f>
        <v>0</v>
      </c>
      <c r="K40" s="931">
        <f>tertiair!J20</f>
        <v>1.6507194552109424E-3</v>
      </c>
      <c r="L40" s="931">
        <f>tertiair!K20</f>
        <v>0</v>
      </c>
      <c r="M40" s="931">
        <f ca="1">tertiair!L20</f>
        <v>0</v>
      </c>
      <c r="N40" s="931">
        <f>tertiair!M20</f>
        <v>0</v>
      </c>
      <c r="O40" s="931">
        <f ca="1">tertiair!N20</f>
        <v>0</v>
      </c>
      <c r="P40" s="931">
        <f>tertiair!O20</f>
        <v>0</v>
      </c>
      <c r="Q40" s="702">
        <f>tertiair!P20</f>
        <v>0</v>
      </c>
      <c r="R40" s="777">
        <f t="shared" ca="1" si="4"/>
        <v>2610.4793998903756</v>
      </c>
    </row>
    <row r="41" spans="1:18">
      <c r="A41" s="749" t="s">
        <v>213</v>
      </c>
      <c r="B41" s="756"/>
      <c r="C41" s="931">
        <f ca="1">huishoudens!B12</f>
        <v>2343.6934117375504</v>
      </c>
      <c r="D41" s="931">
        <f ca="1">huishoudens!C12</f>
        <v>0</v>
      </c>
      <c r="E41" s="931">
        <f>huishoudens!D12</f>
        <v>6185.2138061774658</v>
      </c>
      <c r="F41" s="931">
        <f>huishoudens!E12</f>
        <v>131.88826281621152</v>
      </c>
      <c r="G41" s="931">
        <f>huishoudens!F12</f>
        <v>3595.7575976807266</v>
      </c>
      <c r="H41" s="931">
        <f>huishoudens!G12</f>
        <v>0</v>
      </c>
      <c r="I41" s="931">
        <f>huishoudens!H12</f>
        <v>0</v>
      </c>
      <c r="J41" s="931">
        <f>huishoudens!I12</f>
        <v>0</v>
      </c>
      <c r="K41" s="931">
        <f>huishoudens!J12</f>
        <v>24.50028258530941</v>
      </c>
      <c r="L41" s="931">
        <f>huishoudens!K12</f>
        <v>0</v>
      </c>
      <c r="M41" s="931">
        <f>huishoudens!L12</f>
        <v>0</v>
      </c>
      <c r="N41" s="931">
        <f>huishoudens!M12</f>
        <v>0</v>
      </c>
      <c r="O41" s="931">
        <f>huishoudens!N12</f>
        <v>0</v>
      </c>
      <c r="P41" s="931">
        <f>huishoudens!O12</f>
        <v>0</v>
      </c>
      <c r="Q41" s="702">
        <f>huishoudens!P12</f>
        <v>0</v>
      </c>
      <c r="R41" s="777">
        <f t="shared" ca="1" si="4"/>
        <v>12281.053360997264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2447.4710099614199</v>
      </c>
      <c r="D43" s="931">
        <f ca="1">industrie!C22</f>
        <v>0</v>
      </c>
      <c r="E43" s="931">
        <f>industrie!D22</f>
        <v>4913.9406251599157</v>
      </c>
      <c r="F43" s="931">
        <f>industrie!E22</f>
        <v>36.926495787486189</v>
      </c>
      <c r="G43" s="931">
        <f>industrie!F22</f>
        <v>288.14527640256495</v>
      </c>
      <c r="H43" s="931">
        <f>industrie!G22</f>
        <v>0</v>
      </c>
      <c r="I43" s="931">
        <f>industrie!H22</f>
        <v>0</v>
      </c>
      <c r="J43" s="931">
        <f>industrie!I22</f>
        <v>0</v>
      </c>
      <c r="K43" s="931">
        <f>industrie!J22</f>
        <v>3.3073651866366109</v>
      </c>
      <c r="L43" s="931">
        <f>industrie!K22</f>
        <v>0</v>
      </c>
      <c r="M43" s="931">
        <f>industrie!L22</f>
        <v>0</v>
      </c>
      <c r="N43" s="931">
        <f>industrie!M22</f>
        <v>0</v>
      </c>
      <c r="O43" s="931">
        <f>industrie!N22</f>
        <v>0</v>
      </c>
      <c r="P43" s="931">
        <f>industrie!O22</f>
        <v>0</v>
      </c>
      <c r="Q43" s="702">
        <f>industrie!P22</f>
        <v>0</v>
      </c>
      <c r="R43" s="776">
        <f t="shared" ca="1" si="4"/>
        <v>7689.7907724980241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5739.0145720322644</v>
      </c>
      <c r="D46" s="660">
        <f t="shared" ref="D46:Q46" ca="1" si="5">SUM(D39:D45)</f>
        <v>0</v>
      </c>
      <c r="E46" s="660">
        <f t="shared" ca="1" si="5"/>
        <v>12559.54612586469</v>
      </c>
      <c r="F46" s="660">
        <f t="shared" si="5"/>
        <v>181.2966447105814</v>
      </c>
      <c r="G46" s="660">
        <f t="shared" ca="1" si="5"/>
        <v>4073.6568922867259</v>
      </c>
      <c r="H46" s="660">
        <f t="shared" si="5"/>
        <v>0</v>
      </c>
      <c r="I46" s="660">
        <f t="shared" si="5"/>
        <v>0</v>
      </c>
      <c r="J46" s="660">
        <f t="shared" si="5"/>
        <v>0</v>
      </c>
      <c r="K46" s="660">
        <f t="shared" si="5"/>
        <v>27.809298491401229</v>
      </c>
      <c r="L46" s="660">
        <f t="shared" si="5"/>
        <v>0</v>
      </c>
      <c r="M46" s="660">
        <f t="shared" ca="1" si="5"/>
        <v>0</v>
      </c>
      <c r="N46" s="660">
        <f t="shared" si="5"/>
        <v>0</v>
      </c>
      <c r="O46" s="660">
        <f t="shared" ca="1" si="5"/>
        <v>0</v>
      </c>
      <c r="P46" s="660">
        <f t="shared" si="5"/>
        <v>0</v>
      </c>
      <c r="Q46" s="660">
        <f t="shared" si="5"/>
        <v>0</v>
      </c>
      <c r="R46" s="660">
        <f ca="1">SUM(R39:R45)</f>
        <v>22581.323533385665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0.84385608510208976</v>
      </c>
      <c r="D49" s="931">
        <f ca="1">transport!C58</f>
        <v>0</v>
      </c>
      <c r="E49" s="931">
        <f>transport!D58</f>
        <v>0</v>
      </c>
      <c r="F49" s="931">
        <f>transport!E58</f>
        <v>0</v>
      </c>
      <c r="G49" s="931">
        <f>transport!F58</f>
        <v>0</v>
      </c>
      <c r="H49" s="931">
        <f>transport!G58</f>
        <v>104.77198698417241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105.6158430692745</v>
      </c>
    </row>
    <row r="50" spans="1:18">
      <c r="A50" s="752" t="s">
        <v>295</v>
      </c>
      <c r="B50" s="762"/>
      <c r="C50" s="631">
        <f ca="1">transport!B18</f>
        <v>16.359945648021984</v>
      </c>
      <c r="D50" s="631">
        <f>transport!C18</f>
        <v>0</v>
      </c>
      <c r="E50" s="631">
        <f>transport!D18</f>
        <v>23.495265614236963</v>
      </c>
      <c r="F50" s="631">
        <f>transport!E18</f>
        <v>54.072717111772853</v>
      </c>
      <c r="G50" s="631">
        <f>transport!F18</f>
        <v>0</v>
      </c>
      <c r="H50" s="631">
        <f>transport!G18</f>
        <v>27792.049067525644</v>
      </c>
      <c r="I50" s="631">
        <f>transport!H18</f>
        <v>5198.851970869071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33084.82896676875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17.203801733124074</v>
      </c>
      <c r="D52" s="660">
        <f t="shared" ref="D52:Q52" ca="1" si="6">SUM(D48:D51)</f>
        <v>0</v>
      </c>
      <c r="E52" s="660">
        <f t="shared" si="6"/>
        <v>23.495265614236963</v>
      </c>
      <c r="F52" s="660">
        <f t="shared" si="6"/>
        <v>54.072717111772853</v>
      </c>
      <c r="G52" s="660">
        <f t="shared" si="6"/>
        <v>0</v>
      </c>
      <c r="H52" s="660">
        <f t="shared" si="6"/>
        <v>27896.821054509815</v>
      </c>
      <c r="I52" s="660">
        <f t="shared" si="6"/>
        <v>5198.851970869071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33190.444809838024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116.2895880197365</v>
      </c>
      <c r="D54" s="631">
        <f ca="1">+landbouw!C12</f>
        <v>0</v>
      </c>
      <c r="E54" s="631">
        <f>+landbouw!D12</f>
        <v>28.386318761860434</v>
      </c>
      <c r="F54" s="631">
        <f>+landbouw!E12</f>
        <v>4.2407240103838681</v>
      </c>
      <c r="G54" s="631">
        <f>+landbouw!F12</f>
        <v>567.01979220202566</v>
      </c>
      <c r="H54" s="631">
        <f>+landbouw!G12</f>
        <v>0</v>
      </c>
      <c r="I54" s="631">
        <f>+landbouw!H12</f>
        <v>0</v>
      </c>
      <c r="J54" s="631">
        <f>+landbouw!I12</f>
        <v>0</v>
      </c>
      <c r="K54" s="631">
        <f>+landbouw!J12</f>
        <v>53.591682986455965</v>
      </c>
      <c r="L54" s="631">
        <f>+landbouw!K12</f>
        <v>0</v>
      </c>
      <c r="M54" s="631">
        <f>+landbouw!L12</f>
        <v>0</v>
      </c>
      <c r="N54" s="631">
        <f>+landbouw!M12</f>
        <v>0</v>
      </c>
      <c r="O54" s="631">
        <f>+landbouw!N12</f>
        <v>0</v>
      </c>
      <c r="P54" s="631">
        <f>+landbouw!O12</f>
        <v>0</v>
      </c>
      <c r="Q54" s="632">
        <f>+landbouw!P12</f>
        <v>0</v>
      </c>
      <c r="R54" s="659">
        <f ca="1">SUM(C54:Q54)</f>
        <v>769.52810598046244</v>
      </c>
    </row>
    <row r="55" spans="1:18" ht="15" thickBot="1">
      <c r="A55" s="752" t="s">
        <v>775</v>
      </c>
      <c r="B55" s="762"/>
      <c r="C55" s="631">
        <f ca="1">C25*'EF ele_warmte'!B12</f>
        <v>132.88012849430515</v>
      </c>
      <c r="D55" s="631"/>
      <c r="E55" s="631">
        <f>E25*EF_CO2_aardgas</f>
        <v>265.52606141831183</v>
      </c>
      <c r="F55" s="631"/>
      <c r="G55" s="631"/>
      <c r="H55" s="631"/>
      <c r="I55" s="631"/>
      <c r="J55" s="631"/>
      <c r="K55" s="631"/>
      <c r="L55" s="631"/>
      <c r="M55" s="631"/>
      <c r="N55" s="631"/>
      <c r="O55" s="631"/>
      <c r="P55" s="631"/>
      <c r="Q55" s="632"/>
      <c r="R55" s="659">
        <f ca="1">SUM(C55:Q55)</f>
        <v>398.40618991261698</v>
      </c>
    </row>
    <row r="56" spans="1:18" ht="15.75" thickBot="1">
      <c r="A56" s="750" t="s">
        <v>776</v>
      </c>
      <c r="B56" s="763"/>
      <c r="C56" s="660">
        <f ca="1">SUM(C54:C55)</f>
        <v>249.16971651404165</v>
      </c>
      <c r="D56" s="660">
        <f t="shared" ref="D56:Q56" ca="1" si="7">SUM(D54:D55)</f>
        <v>0</v>
      </c>
      <c r="E56" s="660">
        <f t="shared" si="7"/>
        <v>293.91238018017225</v>
      </c>
      <c r="F56" s="660">
        <f t="shared" si="7"/>
        <v>4.2407240103838681</v>
      </c>
      <c r="G56" s="660">
        <f t="shared" si="7"/>
        <v>567.01979220202566</v>
      </c>
      <c r="H56" s="660">
        <f t="shared" si="7"/>
        <v>0</v>
      </c>
      <c r="I56" s="660">
        <f t="shared" si="7"/>
        <v>0</v>
      </c>
      <c r="J56" s="660">
        <f t="shared" si="7"/>
        <v>0</v>
      </c>
      <c r="K56" s="660">
        <f t="shared" si="7"/>
        <v>53.591682986455965</v>
      </c>
      <c r="L56" s="660">
        <f t="shared" si="7"/>
        <v>0</v>
      </c>
      <c r="M56" s="660">
        <f t="shared" si="7"/>
        <v>0</v>
      </c>
      <c r="N56" s="660">
        <f t="shared" si="7"/>
        <v>0</v>
      </c>
      <c r="O56" s="660">
        <f t="shared" si="7"/>
        <v>0</v>
      </c>
      <c r="P56" s="660">
        <f t="shared" si="7"/>
        <v>0</v>
      </c>
      <c r="Q56" s="661">
        <f t="shared" si="7"/>
        <v>0</v>
      </c>
      <c r="R56" s="662">
        <f ca="1">SUM(R54:R55)</f>
        <v>1167.9342958930795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6005.3880902794299</v>
      </c>
      <c r="D61" s="668">
        <f t="shared" ref="D61:Q61" ca="1" si="8">D46+D52+D56</f>
        <v>0</v>
      </c>
      <c r="E61" s="668">
        <f t="shared" ca="1" si="8"/>
        <v>12876.9537716591</v>
      </c>
      <c r="F61" s="668">
        <f t="shared" si="8"/>
        <v>239.61008583273812</v>
      </c>
      <c r="G61" s="668">
        <f t="shared" ca="1" si="8"/>
        <v>4640.6766844887516</v>
      </c>
      <c r="H61" s="668">
        <f t="shared" si="8"/>
        <v>27896.821054509815</v>
      </c>
      <c r="I61" s="668">
        <f t="shared" si="8"/>
        <v>5198.851970869071</v>
      </c>
      <c r="J61" s="668">
        <f t="shared" si="8"/>
        <v>0</v>
      </c>
      <c r="K61" s="668">
        <f t="shared" si="8"/>
        <v>81.400981477857187</v>
      </c>
      <c r="L61" s="668">
        <f t="shared" si="8"/>
        <v>0</v>
      </c>
      <c r="M61" s="668">
        <f t="shared" ca="1" si="8"/>
        <v>0</v>
      </c>
      <c r="N61" s="668">
        <f t="shared" si="8"/>
        <v>0</v>
      </c>
      <c r="O61" s="668">
        <f t="shared" ca="1" si="8"/>
        <v>0</v>
      </c>
      <c r="P61" s="668">
        <f t="shared" si="8"/>
        <v>0</v>
      </c>
      <c r="Q61" s="668">
        <f t="shared" si="8"/>
        <v>0</v>
      </c>
      <c r="R61" s="668">
        <f ca="1">R46+R52+R56</f>
        <v>56939.702639116767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0.20201581688270639</v>
      </c>
      <c r="D63" s="709">
        <f t="shared" ca="1" si="9"/>
        <v>0</v>
      </c>
      <c r="E63" s="942">
        <f t="shared" ca="1" si="9"/>
        <v>0.20200000000000007</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76.958962679180885</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1734.1555921624674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742.5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873.52941176470586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2553.614554841648</v>
      </c>
      <c r="C78" s="683">
        <f>SUM(C72:C77)</f>
        <v>0</v>
      </c>
      <c r="D78" s="684">
        <f t="shared" ref="D78:H78" si="10">SUM(D76:D77)</f>
        <v>0</v>
      </c>
      <c r="E78" s="684">
        <f t="shared" si="10"/>
        <v>0</v>
      </c>
      <c r="F78" s="684">
        <f t="shared" si="10"/>
        <v>0</v>
      </c>
      <c r="G78" s="684">
        <f t="shared" si="10"/>
        <v>0</v>
      </c>
      <c r="H78" s="684">
        <f t="shared" si="10"/>
        <v>0</v>
      </c>
      <c r="I78" s="684">
        <f>SUM(I76:I77)</f>
        <v>0</v>
      </c>
      <c r="J78" s="684">
        <f>SUM(J76:J77)</f>
        <v>873.52941176470586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1060.7142857142858</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1247.8991596638657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1060.7142857142858</v>
      </c>
      <c r="C90" s="683">
        <f>SUM(C87:C89)</f>
        <v>0</v>
      </c>
      <c r="D90" s="683">
        <f t="shared" ref="D90:H90" si="12">SUM(D87:D89)</f>
        <v>0</v>
      </c>
      <c r="E90" s="683">
        <f t="shared" si="12"/>
        <v>0</v>
      </c>
      <c r="F90" s="683">
        <f t="shared" si="12"/>
        <v>0</v>
      </c>
      <c r="G90" s="683">
        <f t="shared" si="12"/>
        <v>0</v>
      </c>
      <c r="H90" s="683">
        <f t="shared" si="12"/>
        <v>0</v>
      </c>
      <c r="I90" s="683">
        <f>SUM(I87:I89)</f>
        <v>0</v>
      </c>
      <c r="J90" s="683">
        <f>SUM(J87:J89)</f>
        <v>1247.8991596638657</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11601.534215998227</v>
      </c>
      <c r="C4" s="441">
        <f>huishoudens!C8</f>
        <v>0</v>
      </c>
      <c r="D4" s="441">
        <f>huishoudens!D8</f>
        <v>30619.870327611214</v>
      </c>
      <c r="E4" s="441">
        <f>huishoudens!E8</f>
        <v>581.00556306701105</v>
      </c>
      <c r="F4" s="441">
        <f>huishoudens!F8</f>
        <v>13467.256920152533</v>
      </c>
      <c r="G4" s="441">
        <f>huishoudens!G8</f>
        <v>0</v>
      </c>
      <c r="H4" s="441">
        <f>huishoudens!H8</f>
        <v>0</v>
      </c>
      <c r="I4" s="441">
        <f>huishoudens!I8</f>
        <v>0</v>
      </c>
      <c r="J4" s="441">
        <f>huishoudens!J8</f>
        <v>69.209837811608509</v>
      </c>
      <c r="K4" s="441">
        <f>huishoudens!K8</f>
        <v>0</v>
      </c>
      <c r="L4" s="441">
        <f>huishoudens!L8</f>
        <v>0</v>
      </c>
      <c r="M4" s="441">
        <f>huishoudens!M8</f>
        <v>0</v>
      </c>
      <c r="N4" s="441">
        <f>huishoudens!N8</f>
        <v>3868.368344015003</v>
      </c>
      <c r="O4" s="441">
        <f>huishoudens!O8</f>
        <v>117.25</v>
      </c>
      <c r="P4" s="442">
        <f>huishoudens!P8</f>
        <v>362.26666666666665</v>
      </c>
      <c r="Q4" s="443">
        <f>SUM(B4:P4)</f>
        <v>60686.761875322263</v>
      </c>
    </row>
    <row r="5" spans="1:17">
      <c r="A5" s="440" t="s">
        <v>149</v>
      </c>
      <c r="B5" s="441">
        <f ca="1">tertiair!B16</f>
        <v>4322.8850898558894</v>
      </c>
      <c r="C5" s="441">
        <f ca="1">tertiair!C16</f>
        <v>0</v>
      </c>
      <c r="D5" s="441">
        <f ca="1">tertiair!D16</f>
        <v>7229.6618540955842</v>
      </c>
      <c r="E5" s="441">
        <f>tertiair!E16</f>
        <v>54.986282409179225</v>
      </c>
      <c r="F5" s="441">
        <f ca="1">tertiair!F16</f>
        <v>710.68920675443655</v>
      </c>
      <c r="G5" s="441">
        <f>tertiair!G16</f>
        <v>0</v>
      </c>
      <c r="H5" s="441">
        <f>tertiair!H16</f>
        <v>0</v>
      </c>
      <c r="I5" s="441">
        <f>tertiair!I16</f>
        <v>0</v>
      </c>
      <c r="J5" s="441">
        <f>tertiair!J16</f>
        <v>4.6630493085054875E-3</v>
      </c>
      <c r="K5" s="441">
        <f>tertiair!K16</f>
        <v>0</v>
      </c>
      <c r="L5" s="441">
        <f ca="1">tertiair!L16</f>
        <v>0</v>
      </c>
      <c r="M5" s="441">
        <f>tertiair!M16</f>
        <v>0</v>
      </c>
      <c r="N5" s="441">
        <f ca="1">tertiair!N16</f>
        <v>193.74765507520229</v>
      </c>
      <c r="O5" s="441">
        <f>tertiair!O16</f>
        <v>0</v>
      </c>
      <c r="P5" s="442">
        <f>tertiair!P16</f>
        <v>19.066666666666666</v>
      </c>
      <c r="Q5" s="440">
        <f t="shared" ref="Q5:Q14" ca="1" si="0">SUM(B5:P5)</f>
        <v>12531.041417906268</v>
      </c>
    </row>
    <row r="6" spans="1:17">
      <c r="A6" s="440" t="s">
        <v>187</v>
      </c>
      <c r="B6" s="441">
        <f>'openbare verlichting'!B8</f>
        <v>369.07499999999999</v>
      </c>
      <c r="C6" s="441"/>
      <c r="D6" s="441"/>
      <c r="E6" s="441"/>
      <c r="F6" s="441"/>
      <c r="G6" s="441"/>
      <c r="H6" s="441"/>
      <c r="I6" s="441"/>
      <c r="J6" s="441"/>
      <c r="K6" s="441"/>
      <c r="L6" s="441"/>
      <c r="M6" s="441"/>
      <c r="N6" s="441"/>
      <c r="O6" s="441"/>
      <c r="P6" s="442"/>
      <c r="Q6" s="440">
        <f t="shared" si="0"/>
        <v>369.07499999999999</v>
      </c>
    </row>
    <row r="7" spans="1:17">
      <c r="A7" s="440" t="s">
        <v>105</v>
      </c>
      <c r="B7" s="441">
        <f>landbouw!B8</f>
        <v>575.6459559166899</v>
      </c>
      <c r="C7" s="441">
        <f>landbouw!C8</f>
        <v>0</v>
      </c>
      <c r="D7" s="441">
        <f>landbouw!D8</f>
        <v>140.52633050425956</v>
      </c>
      <c r="E7" s="441">
        <f>landbouw!E8</f>
        <v>18.681603569972989</v>
      </c>
      <c r="F7" s="441">
        <f>landbouw!F8</f>
        <v>2123.6696337154517</v>
      </c>
      <c r="G7" s="441">
        <f>landbouw!G8</f>
        <v>0</v>
      </c>
      <c r="H7" s="441">
        <f>landbouw!H8</f>
        <v>0</v>
      </c>
      <c r="I7" s="441">
        <f>landbouw!I8</f>
        <v>0</v>
      </c>
      <c r="J7" s="441">
        <f>landbouw!J8</f>
        <v>151.3889349899886</v>
      </c>
      <c r="K7" s="441">
        <f>landbouw!K8</f>
        <v>0</v>
      </c>
      <c r="L7" s="441">
        <f>landbouw!L8</f>
        <v>0</v>
      </c>
      <c r="M7" s="441">
        <f>landbouw!M8</f>
        <v>0</v>
      </c>
      <c r="N7" s="441">
        <f>landbouw!N8</f>
        <v>0</v>
      </c>
      <c r="O7" s="441">
        <f>landbouw!O8</f>
        <v>0</v>
      </c>
      <c r="P7" s="442">
        <f>landbouw!P8</f>
        <v>0</v>
      </c>
      <c r="Q7" s="440">
        <f t="shared" si="0"/>
        <v>3009.912458696363</v>
      </c>
    </row>
    <row r="8" spans="1:17">
      <c r="A8" s="440" t="s">
        <v>596</v>
      </c>
      <c r="B8" s="441">
        <f>industrie!B18</f>
        <v>12115.244478022532</v>
      </c>
      <c r="C8" s="441">
        <f>industrie!C18</f>
        <v>1060.7142857142858</v>
      </c>
      <c r="D8" s="441">
        <f>industrie!D18</f>
        <v>24326.438738415422</v>
      </c>
      <c r="E8" s="441">
        <f>industrie!E18</f>
        <v>162.67178761007131</v>
      </c>
      <c r="F8" s="441">
        <f>industrie!F18</f>
        <v>1079.195791769906</v>
      </c>
      <c r="G8" s="441">
        <f>industrie!G18</f>
        <v>0</v>
      </c>
      <c r="H8" s="441">
        <f>industrie!H18</f>
        <v>0</v>
      </c>
      <c r="I8" s="441">
        <f>industrie!I18</f>
        <v>0</v>
      </c>
      <c r="J8" s="441">
        <f>industrie!J18</f>
        <v>9.3428395102729134</v>
      </c>
      <c r="K8" s="441">
        <f>industrie!K18</f>
        <v>0</v>
      </c>
      <c r="L8" s="441">
        <f>industrie!L18</f>
        <v>0</v>
      </c>
      <c r="M8" s="441">
        <f>industrie!M18</f>
        <v>0</v>
      </c>
      <c r="N8" s="441">
        <f>industrie!N18</f>
        <v>0</v>
      </c>
      <c r="O8" s="441">
        <f>industrie!O18</f>
        <v>0</v>
      </c>
      <c r="P8" s="442">
        <f>industrie!P18</f>
        <v>0</v>
      </c>
      <c r="Q8" s="440">
        <f t="shared" si="0"/>
        <v>38753.607921042494</v>
      </c>
    </row>
    <row r="9" spans="1:17" s="446" customFormat="1">
      <c r="A9" s="444" t="s">
        <v>545</v>
      </c>
      <c r="B9" s="445">
        <f>transport!B14</f>
        <v>80.98348882018891</v>
      </c>
      <c r="C9" s="445">
        <f>transport!C14</f>
        <v>0</v>
      </c>
      <c r="D9" s="445">
        <f>transport!D14</f>
        <v>116.31319611008396</v>
      </c>
      <c r="E9" s="445">
        <f>transport!E14</f>
        <v>238.20580225450595</v>
      </c>
      <c r="F9" s="445">
        <f>transport!F14</f>
        <v>0</v>
      </c>
      <c r="G9" s="445">
        <f>transport!G14</f>
        <v>104090.07141395372</v>
      </c>
      <c r="H9" s="445">
        <f>transport!H14</f>
        <v>20878.923577787435</v>
      </c>
      <c r="I9" s="445">
        <f>transport!I14</f>
        <v>0</v>
      </c>
      <c r="J9" s="445">
        <f>transport!J14</f>
        <v>0</v>
      </c>
      <c r="K9" s="445">
        <f>transport!K14</f>
        <v>0</v>
      </c>
      <c r="L9" s="445">
        <f>transport!L14</f>
        <v>0</v>
      </c>
      <c r="M9" s="445">
        <f>transport!M14</f>
        <v>6696.1871861679292</v>
      </c>
      <c r="N9" s="445">
        <f>transport!N14</f>
        <v>0</v>
      </c>
      <c r="O9" s="445">
        <f>transport!O14</f>
        <v>0</v>
      </c>
      <c r="P9" s="445">
        <f>transport!P14</f>
        <v>0</v>
      </c>
      <c r="Q9" s="444">
        <f>SUM(B9:P9)</f>
        <v>132100.68466509387</v>
      </c>
    </row>
    <row r="10" spans="1:17">
      <c r="A10" s="440" t="s">
        <v>535</v>
      </c>
      <c r="B10" s="441">
        <f>transport!B54</f>
        <v>4.1771782928860768</v>
      </c>
      <c r="C10" s="441">
        <f>transport!C54</f>
        <v>0</v>
      </c>
      <c r="D10" s="441">
        <f>transport!D54</f>
        <v>0</v>
      </c>
      <c r="E10" s="441">
        <f>transport!E54</f>
        <v>0</v>
      </c>
      <c r="F10" s="441">
        <f>transport!F54</f>
        <v>0</v>
      </c>
      <c r="G10" s="441">
        <f>transport!G54</f>
        <v>392.40444563360455</v>
      </c>
      <c r="H10" s="441">
        <f>transport!H54</f>
        <v>0</v>
      </c>
      <c r="I10" s="441">
        <f>transport!I54</f>
        <v>0</v>
      </c>
      <c r="J10" s="441">
        <f>transport!J54</f>
        <v>0</v>
      </c>
      <c r="K10" s="441">
        <f>transport!K54</f>
        <v>0</v>
      </c>
      <c r="L10" s="441">
        <f>transport!L54</f>
        <v>0</v>
      </c>
      <c r="M10" s="441">
        <f>transport!M54</f>
        <v>22.597393835756677</v>
      </c>
      <c r="N10" s="441">
        <f>transport!N54</f>
        <v>0</v>
      </c>
      <c r="O10" s="441">
        <f>transport!O54</f>
        <v>0</v>
      </c>
      <c r="P10" s="442">
        <f>transport!P54</f>
        <v>0</v>
      </c>
      <c r="Q10" s="440">
        <f t="shared" si="0"/>
        <v>419.17901776224733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657.77091390550606</v>
      </c>
      <c r="C14" s="448"/>
      <c r="D14" s="448">
        <f>'SEAP template'!E25</f>
        <v>1314.4854525659</v>
      </c>
      <c r="E14" s="448"/>
      <c r="F14" s="448"/>
      <c r="G14" s="448"/>
      <c r="H14" s="448"/>
      <c r="I14" s="448"/>
      <c r="J14" s="448"/>
      <c r="K14" s="448"/>
      <c r="L14" s="448"/>
      <c r="M14" s="448"/>
      <c r="N14" s="448"/>
      <c r="O14" s="448"/>
      <c r="P14" s="449"/>
      <c r="Q14" s="440">
        <f t="shared" si="0"/>
        <v>1972.2563664714062</v>
      </c>
    </row>
    <row r="15" spans="1:17" s="450" customFormat="1">
      <c r="A15" s="957" t="s">
        <v>539</v>
      </c>
      <c r="B15" s="905">
        <f ca="1">SUM(B4:B14)</f>
        <v>29727.316320811922</v>
      </c>
      <c r="C15" s="905">
        <f t="shared" ref="C15:Q15" ca="1" si="1">SUM(C4:C14)</f>
        <v>1060.7142857142858</v>
      </c>
      <c r="D15" s="905">
        <f t="shared" ca="1" si="1"/>
        <v>63747.295899302459</v>
      </c>
      <c r="E15" s="905">
        <f t="shared" si="1"/>
        <v>1055.5510389107405</v>
      </c>
      <c r="F15" s="905">
        <f t="shared" ca="1" si="1"/>
        <v>17380.811552392326</v>
      </c>
      <c r="G15" s="905">
        <f t="shared" si="1"/>
        <v>104482.47585958731</v>
      </c>
      <c r="H15" s="905">
        <f t="shared" si="1"/>
        <v>20878.923577787435</v>
      </c>
      <c r="I15" s="905">
        <f t="shared" si="1"/>
        <v>0</v>
      </c>
      <c r="J15" s="905">
        <f t="shared" si="1"/>
        <v>229.94627536117852</v>
      </c>
      <c r="K15" s="905">
        <f t="shared" si="1"/>
        <v>0</v>
      </c>
      <c r="L15" s="905">
        <f t="shared" ca="1" si="1"/>
        <v>0</v>
      </c>
      <c r="M15" s="905">
        <f t="shared" si="1"/>
        <v>6718.7845800036857</v>
      </c>
      <c r="N15" s="905">
        <f t="shared" ca="1" si="1"/>
        <v>4062.1159990902052</v>
      </c>
      <c r="O15" s="905">
        <f t="shared" si="1"/>
        <v>117.25</v>
      </c>
      <c r="P15" s="905">
        <f t="shared" si="1"/>
        <v>381.33333333333331</v>
      </c>
      <c r="Q15" s="905">
        <f t="shared" ca="1" si="1"/>
        <v>249842.51872229489</v>
      </c>
    </row>
    <row r="17" spans="1:17">
      <c r="A17" s="451" t="s">
        <v>540</v>
      </c>
      <c r="B17" s="714">
        <f ca="1">huishoudens!B10</f>
        <v>0.20201581688270639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2343.6934117375504</v>
      </c>
      <c r="C22" s="441">
        <f t="shared" ref="C22:C32" ca="1" si="3">C4*$C$17</f>
        <v>0</v>
      </c>
      <c r="D22" s="441">
        <f t="shared" ref="D22:D32" si="4">D4*$D$17</f>
        <v>6185.2138061774658</v>
      </c>
      <c r="E22" s="441">
        <f t="shared" ref="E22:E32" si="5">E4*$E$17</f>
        <v>131.88826281621152</v>
      </c>
      <c r="F22" s="441">
        <f t="shared" ref="F22:F32" si="6">F4*$F$17</f>
        <v>3595.7575976807266</v>
      </c>
      <c r="G22" s="441">
        <f t="shared" ref="G22:G32" si="7">G4*$G$17</f>
        <v>0</v>
      </c>
      <c r="H22" s="441">
        <f t="shared" ref="H22:H32" si="8">H4*$H$17</f>
        <v>0</v>
      </c>
      <c r="I22" s="441">
        <f t="shared" ref="I22:I32" si="9">I4*$I$17</f>
        <v>0</v>
      </c>
      <c r="J22" s="441">
        <f t="shared" ref="J22:J32" si="10">J4*$J$17</f>
        <v>24.50028258530941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12281.053360997264</v>
      </c>
    </row>
    <row r="23" spans="1:17">
      <c r="A23" s="440" t="s">
        <v>149</v>
      </c>
      <c r="B23" s="441">
        <f t="shared" ca="1" si="2"/>
        <v>873.29116271730913</v>
      </c>
      <c r="C23" s="441">
        <f t="shared" ca="1" si="3"/>
        <v>0</v>
      </c>
      <c r="D23" s="441">
        <f t="shared" ca="1" si="4"/>
        <v>1460.3916945273081</v>
      </c>
      <c r="E23" s="441">
        <f t="shared" si="5"/>
        <v>12.481886106883685</v>
      </c>
      <c r="F23" s="441">
        <f t="shared" ca="1" si="6"/>
        <v>189.75401820343458</v>
      </c>
      <c r="G23" s="441">
        <f t="shared" si="7"/>
        <v>0</v>
      </c>
      <c r="H23" s="441">
        <f t="shared" si="8"/>
        <v>0</v>
      </c>
      <c r="I23" s="441">
        <f t="shared" si="9"/>
        <v>0</v>
      </c>
      <c r="J23" s="441">
        <f t="shared" si="10"/>
        <v>1.6507194552109424E-3</v>
      </c>
      <c r="K23" s="441">
        <f t="shared" si="11"/>
        <v>0</v>
      </c>
      <c r="L23" s="441">
        <f t="shared" ca="1" si="12"/>
        <v>0</v>
      </c>
      <c r="M23" s="441">
        <f t="shared" si="13"/>
        <v>0</v>
      </c>
      <c r="N23" s="441">
        <f t="shared" ca="1" si="14"/>
        <v>0</v>
      </c>
      <c r="O23" s="441">
        <f t="shared" si="15"/>
        <v>0</v>
      </c>
      <c r="P23" s="442">
        <f t="shared" si="16"/>
        <v>0</v>
      </c>
      <c r="Q23" s="440">
        <f t="shared" ref="Q23:Q32" ca="1" si="17">SUM(B23:P23)</f>
        <v>2535.9204122743909</v>
      </c>
    </row>
    <row r="24" spans="1:17">
      <c r="A24" s="440" t="s">
        <v>187</v>
      </c>
      <c r="B24" s="441">
        <f t="shared" ca="1" si="2"/>
        <v>74.558987615984861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74.558987615984861</v>
      </c>
    </row>
    <row r="25" spans="1:17">
      <c r="A25" s="440" t="s">
        <v>105</v>
      </c>
      <c r="B25" s="441">
        <f t="shared" ca="1" si="2"/>
        <v>116.2895880197365</v>
      </c>
      <c r="C25" s="441">
        <f t="shared" ca="1" si="3"/>
        <v>0</v>
      </c>
      <c r="D25" s="441">
        <f t="shared" si="4"/>
        <v>28.386318761860434</v>
      </c>
      <c r="E25" s="441">
        <f t="shared" si="5"/>
        <v>4.2407240103838681</v>
      </c>
      <c r="F25" s="441">
        <f t="shared" si="6"/>
        <v>567.01979220202566</v>
      </c>
      <c r="G25" s="441">
        <f t="shared" si="7"/>
        <v>0</v>
      </c>
      <c r="H25" s="441">
        <f t="shared" si="8"/>
        <v>0</v>
      </c>
      <c r="I25" s="441">
        <f t="shared" si="9"/>
        <v>0</v>
      </c>
      <c r="J25" s="441">
        <f t="shared" si="10"/>
        <v>53.591682986455965</v>
      </c>
      <c r="K25" s="441">
        <f t="shared" si="11"/>
        <v>0</v>
      </c>
      <c r="L25" s="441">
        <f t="shared" si="12"/>
        <v>0</v>
      </c>
      <c r="M25" s="441">
        <f t="shared" si="13"/>
        <v>0</v>
      </c>
      <c r="N25" s="441">
        <f t="shared" si="14"/>
        <v>0</v>
      </c>
      <c r="O25" s="441">
        <f t="shared" si="15"/>
        <v>0</v>
      </c>
      <c r="P25" s="442">
        <f t="shared" si="16"/>
        <v>0</v>
      </c>
      <c r="Q25" s="440">
        <f t="shared" ca="1" si="17"/>
        <v>769.52810598046244</v>
      </c>
    </row>
    <row r="26" spans="1:17">
      <c r="A26" s="440" t="s">
        <v>596</v>
      </c>
      <c r="B26" s="441">
        <f t="shared" ca="1" si="2"/>
        <v>2447.4710099614199</v>
      </c>
      <c r="C26" s="441">
        <f t="shared" ca="1" si="3"/>
        <v>0</v>
      </c>
      <c r="D26" s="441">
        <f t="shared" si="4"/>
        <v>4913.9406251599157</v>
      </c>
      <c r="E26" s="441">
        <f t="shared" si="5"/>
        <v>36.926495787486189</v>
      </c>
      <c r="F26" s="441">
        <f t="shared" si="6"/>
        <v>288.14527640256495</v>
      </c>
      <c r="G26" s="441">
        <f t="shared" si="7"/>
        <v>0</v>
      </c>
      <c r="H26" s="441">
        <f t="shared" si="8"/>
        <v>0</v>
      </c>
      <c r="I26" s="441">
        <f t="shared" si="9"/>
        <v>0</v>
      </c>
      <c r="J26" s="441">
        <f t="shared" si="10"/>
        <v>3.3073651866366109</v>
      </c>
      <c r="K26" s="441">
        <f t="shared" si="11"/>
        <v>0</v>
      </c>
      <c r="L26" s="441">
        <f t="shared" si="12"/>
        <v>0</v>
      </c>
      <c r="M26" s="441">
        <f t="shared" si="13"/>
        <v>0</v>
      </c>
      <c r="N26" s="441">
        <f t="shared" si="14"/>
        <v>0</v>
      </c>
      <c r="O26" s="441">
        <f t="shared" si="15"/>
        <v>0</v>
      </c>
      <c r="P26" s="442">
        <f t="shared" si="16"/>
        <v>0</v>
      </c>
      <c r="Q26" s="440">
        <f t="shared" ca="1" si="17"/>
        <v>7689.7907724980241</v>
      </c>
    </row>
    <row r="27" spans="1:17" s="446" customFormat="1">
      <c r="A27" s="444" t="s">
        <v>545</v>
      </c>
      <c r="B27" s="708">
        <f t="shared" ca="1" si="2"/>
        <v>16.359945648021984</v>
      </c>
      <c r="C27" s="445">
        <f t="shared" ca="1" si="3"/>
        <v>0</v>
      </c>
      <c r="D27" s="445">
        <f t="shared" si="4"/>
        <v>23.495265614236963</v>
      </c>
      <c r="E27" s="445">
        <f t="shared" si="5"/>
        <v>54.072717111772853</v>
      </c>
      <c r="F27" s="445">
        <f t="shared" si="6"/>
        <v>0</v>
      </c>
      <c r="G27" s="445">
        <f t="shared" si="7"/>
        <v>27792.049067525644</v>
      </c>
      <c r="H27" s="445">
        <f t="shared" si="8"/>
        <v>5198.851970869071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33084.82896676875</v>
      </c>
    </row>
    <row r="28" spans="1:17">
      <c r="A28" s="440" t="s">
        <v>535</v>
      </c>
      <c r="B28" s="441">
        <f t="shared" ca="1" si="2"/>
        <v>0.84385608510208976</v>
      </c>
      <c r="C28" s="441">
        <f t="shared" ca="1" si="3"/>
        <v>0</v>
      </c>
      <c r="D28" s="441">
        <f t="shared" si="4"/>
        <v>0</v>
      </c>
      <c r="E28" s="441">
        <f t="shared" si="5"/>
        <v>0</v>
      </c>
      <c r="F28" s="441">
        <f t="shared" si="6"/>
        <v>0</v>
      </c>
      <c r="G28" s="441">
        <f t="shared" si="7"/>
        <v>104.77198698417241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105.6158430692745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132.88012849430515</v>
      </c>
      <c r="C32" s="441">
        <f t="shared" ca="1" si="3"/>
        <v>0</v>
      </c>
      <c r="D32" s="441">
        <f t="shared" si="4"/>
        <v>265.52606141831183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398.40618991261698</v>
      </c>
    </row>
    <row r="33" spans="1:17" s="450" customFormat="1">
      <c r="A33" s="957" t="s">
        <v>539</v>
      </c>
      <c r="B33" s="905">
        <f ca="1">SUM(B22:B32)</f>
        <v>6005.3880902794299</v>
      </c>
      <c r="C33" s="905">
        <f t="shared" ref="C33:Q33" ca="1" si="18">SUM(C22:C32)</f>
        <v>0</v>
      </c>
      <c r="D33" s="905">
        <f t="shared" ca="1" si="18"/>
        <v>12876.9537716591</v>
      </c>
      <c r="E33" s="905">
        <f t="shared" si="18"/>
        <v>239.61008583273812</v>
      </c>
      <c r="F33" s="905">
        <f t="shared" ca="1" si="18"/>
        <v>4640.6766844887516</v>
      </c>
      <c r="G33" s="905">
        <f t="shared" si="18"/>
        <v>27896.821054509815</v>
      </c>
      <c r="H33" s="905">
        <f t="shared" si="18"/>
        <v>5198.851970869071</v>
      </c>
      <c r="I33" s="905">
        <f t="shared" si="18"/>
        <v>0</v>
      </c>
      <c r="J33" s="905">
        <f t="shared" si="18"/>
        <v>81.400981477857201</v>
      </c>
      <c r="K33" s="905">
        <f t="shared" si="18"/>
        <v>0</v>
      </c>
      <c r="L33" s="905">
        <f t="shared" ca="1" si="18"/>
        <v>0</v>
      </c>
      <c r="M33" s="905">
        <f t="shared" si="18"/>
        <v>0</v>
      </c>
      <c r="N33" s="905">
        <f t="shared" ca="1" si="18"/>
        <v>0</v>
      </c>
      <c r="O33" s="905">
        <f t="shared" si="18"/>
        <v>0</v>
      </c>
      <c r="P33" s="905">
        <f t="shared" si="18"/>
        <v>0</v>
      </c>
      <c r="Q33" s="905">
        <f t="shared" ca="1" si="18"/>
        <v>56939.702639116767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76.958962679180885</v>
      </c>
      <c r="C5" s="974"/>
      <c r="D5" s="974"/>
      <c r="E5" s="974"/>
      <c r="F5" s="974"/>
      <c r="G5" s="974"/>
      <c r="H5" s="974"/>
      <c r="I5" s="974"/>
      <c r="J5" s="974"/>
      <c r="K5" s="974"/>
      <c r="L5" s="974"/>
      <c r="M5" s="974"/>
      <c r="N5" s="974"/>
      <c r="O5" s="974"/>
      <c r="P5" s="975">
        <f>'SEAP template'!Q73</f>
        <v>0</v>
      </c>
    </row>
    <row r="6" spans="1:16">
      <c r="A6" s="976" t="s">
        <v>239</v>
      </c>
      <c r="B6" s="974">
        <f>'SEAP template'!B74</f>
        <v>1734.1555921624674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742.5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873.52941176470586</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2553.614554841648</v>
      </c>
      <c r="C10" s="978">
        <f>SUM(C4:C9)</f>
        <v>0</v>
      </c>
      <c r="D10" s="978">
        <f t="shared" ref="D10:H10" si="0">SUM(D8:D9)</f>
        <v>0</v>
      </c>
      <c r="E10" s="978">
        <f t="shared" si="0"/>
        <v>0</v>
      </c>
      <c r="F10" s="978">
        <f t="shared" si="0"/>
        <v>0</v>
      </c>
      <c r="G10" s="978">
        <f t="shared" si="0"/>
        <v>0</v>
      </c>
      <c r="H10" s="978">
        <f t="shared" si="0"/>
        <v>0</v>
      </c>
      <c r="I10" s="978">
        <f>SUM(I8:I9)</f>
        <v>0</v>
      </c>
      <c r="J10" s="978">
        <f>SUM(J8:J9)</f>
        <v>873.52941176470586</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0.20201581688270639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1060.7142857142858</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1247.8991596638657</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1060.7142857142858</v>
      </c>
      <c r="C20" s="978">
        <f>SUM(C17:C19)</f>
        <v>0</v>
      </c>
      <c r="D20" s="978">
        <f t="shared" ref="D20:H20" si="2">SUM(D17:D19)</f>
        <v>0</v>
      </c>
      <c r="E20" s="978">
        <f t="shared" si="2"/>
        <v>0</v>
      </c>
      <c r="F20" s="978">
        <f t="shared" si="2"/>
        <v>0</v>
      </c>
      <c r="G20" s="978">
        <f t="shared" si="2"/>
        <v>0</v>
      </c>
      <c r="H20" s="978">
        <f t="shared" si="2"/>
        <v>0</v>
      </c>
      <c r="I20" s="978">
        <f>SUM(I17:I19)</f>
        <v>0</v>
      </c>
      <c r="J20" s="978">
        <f>SUM(J17:J19)</f>
        <v>1247.8991596638657</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0.20201581688270639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2022-07-26T10:38:58Z</dcterms:modified>
</cp:coreProperties>
</file>