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74E275EF-506B-4AA4-B9AC-B22BE93A215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<sst xmlns="http://schemas.openxmlformats.org/spreadsheetml/2006/main" count="2402" uniqueCount="881">
  <si>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</si>
  <si>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</si>
  <si>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</si>
  <si>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</si>
  <si>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</si>
  <si>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</si>
  <si>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</si>
  <si>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</si>
  <si>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</si>
  <si>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</si>
  <si>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</si>
  <si>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</si>
  <si>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</si>
  <si>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</si>
  <si>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</si>
  <si>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</si>
  <si>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</si>
  <si>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</si>
  <si>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</si>
  <si>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</si>
  <si>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</si>
  <si>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</si>
  <si>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</si>
  <si>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</si>
  <si>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</si>
  <si>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</si>
  <si>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</si>
  <si>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</si>
  <si>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</si>
  <si>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</si>
  <si>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</si>
  <si>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</si>
  <si>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</si>
  <si>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</si>
  <si>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</si>
  <si>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</si>
  <si>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</si>
  <si>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</si>
  <si>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</si>
  <si>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</si>
  <si>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</si>
  <si>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</si>
  <si>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</si>
  <si>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</si>
  <si>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</si>
  <si>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</si>
  <si>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</si>
  <si>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</si>
  <si>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</si>
  <si>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</si>
  <si>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</si>
  <si>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</si>
  <si>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</si>
  <si>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</si>
  <si>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</si>
  <si>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</si>
  <si>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</si>
  <si>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</si>
  <si>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</si>
  <si>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</si>
  <si>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</si>
  <si>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</si>
  <si>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</si>
  <si>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</si>
  <si>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</si>
  <si>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</si>
  <si>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</si>
  <si>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</si>
  <si>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</si>
  <si>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</si>
  <si>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</si>
  <si>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</si>
  <si>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</si>
  <si>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</si>
  <si>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</si>
  <si>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</si>
  <si>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</si>
  <si>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</si>
  <si>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</si>
  <si>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</si>
  <si>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</si>
  <si>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</si>
  <si>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</si>
  <si>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</si>
  <si>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</si>
  <si>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</si>
  <si>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</si>
  <si>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</si>
  <si>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</si>
  <si>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</si>
  <si>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</si>
  <si>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</si>
  <si>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</si>
  <si>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</si>
  <si>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</si>
  <si>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</si>
  <si>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</si>
  <si>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</si>
  <si>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</si>
  <si>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</si>
  <si>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</si>
  <si>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</si>
  <si>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</si>
  <si>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</si>
  <si>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</si>
  <si>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</si>
  <si>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</si>
  <si>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</si>
  <si>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</si>
  <si>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</si>
  <si>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</si>
  <si>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</si>
  <si>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</si>
  <si>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</si>
  <si>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</si>
  <si>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</si>
  <si>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</si>
  <si>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</si>
  <si>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</si>
  <si>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</si>
  <si>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</si>
  <si>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</si>
  <si>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</si>
  <si>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</si>
  <si>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</si>
  <si>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</si>
  <si>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</si>
  <si>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</si>
  <si>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</si>
  <si>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</si>
  <si>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</si>
  <si>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</si>
  <si>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</si>
  <si>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</si>
  <si>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</si>
  <si>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</si>
  <si>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</si>
  <si>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</si>
  <si>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</si>
  <si>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</si>
  <si>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</si>
  <si>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</si>
  <si>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</si>
  <si>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</si>
  <si>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</si>
  <si>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</si>
  <si>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</si>
  <si>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</si>
  <si>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</si>
  <si>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</si>
  <si>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</si>
  <si>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</si>
  <si>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</si>
  <si>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</si>
  <si>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</si>
  <si>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</si>
  <si>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</si>
  <si>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</si>
  <si>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</si>
  <si>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</si>
  <si>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</si>
  <si>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</si>
  <si>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</si>
  <si>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</si>
  <si>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</si>
  <si>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</si>
  <si>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</si>
  <si>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</si>
  <si>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</si>
  <si>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</si>
  <si>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</si>
  <si>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</si>
  <si>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</si>
  <si>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</si>
  <si>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</si>
  <si>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</si>
  <si>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</si>
  <si>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</si>
  <si>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</si>
  <si>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</si>
  <si>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</si>
  <si>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</si>
  <si>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</si>
  <si>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</si>
  <si>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</si>
  <si>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</si>
  <si>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</si>
  <si>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</si>
  <si>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</si>
  <si>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</si>
  <si>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</si>
  <si>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</si>
  <si>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</si>
  <si>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</si>
  <si>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</si>
  <si>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</si>
  <si>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</si>
  <si>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</si>
  <si>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</si>
  <si>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</si>
  <si>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</si>
  <si>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</si>
  <si>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</si>
  <si>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</si>
  <si>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</si>
  <si>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</si>
  <si>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</si>
  <si>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</si>
  <si>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</si>
  <si>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</si>
  <si>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</si>
  <si>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</si>
  <si>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</si>
  <si>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</si>
  <si>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</si>
  <si>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</si>
  <si>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</si>
  <si>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</si>
  <si>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</si>
  <si>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</si>
  <si>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</si>
  <si>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</si>
  <si>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</si>
  <si>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</si>
  <si>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</si>
  <si>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</si>
  <si>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</si>
  <si>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</si>
  <si>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</si>
  <si>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</si>
  <si>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</si>
  <si>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</si>
  <si>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</si>
  <si>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</si>
  <si>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</si>
  <si>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</si>
  <si>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</si>
  <si>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</si>
  <si>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</si>
  <si>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</si>
  <si>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</si>
  <si>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</si>
  <si>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</si>
  <si>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</si>
  <si>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</si>
  <si>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</si>
  <si>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</si>
  <si>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</si>
  <si>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</si>
  <si>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</si>
  <si>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</si>
  <si>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</si>
  <si>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</si>
  <si>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</si>
  <si>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</si>
  <si>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</si>
  <si>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</si>
  <si>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</si>
  <si>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</si>
  <si>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</si>
  <si>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</si>
  <si>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</si>
  <si>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</si>
  <si>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</si>
  <si>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</si>
  <si>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</si>
  <si>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</si>
  <si>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</si>
  <si>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</si>
  <si>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</si>
  <si>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</si>
  <si>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</si>
  <si>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</si>
  <si>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</si>
  <si>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</si>
  <si>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</si>
  <si>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</si>
  <si>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</si>
  <si>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</si>
  <si>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</si>
  <si>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</si>
  <si>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</si>
  <si>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</si>
  <si>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</si>
  <si>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</si>
  <si>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</si>
  <si>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</si>
  <si>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</si>
  <si>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</si>
  <si>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</si>
  <si>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</si>
  <si>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</si>
  <si>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</si>
  <si>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</si>
  <si>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</si>
  <si>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</si>
  <si>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</si>
  <si>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</si>
  <si>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</si>
  <si>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</si>
  <si>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</si>
  <si>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</si>
  <si>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</si>
  <si>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</si>
  <si>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</si>
  <si>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</si>
  <si>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</si>
  <si>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</si>
  <si>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</si>
  <si>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</si>
  <si>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</si>
  <si>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</si>
  <si>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</si>
  <si>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</si>
  <si>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</si>
  <si>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</si>
  <si>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</si>
  <si>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</si>
  <si>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</si>
  <si>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</si>
  <si>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</si>
  <si>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</si>
  <si>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</si>
  <si>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</si>
  <si>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</si>
  <si>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</si>
  <si>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</si>
  <si>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</si>
  <si>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</si>
  <si>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</si>
  <si>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</si>
  <si>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</si>
  <si>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</si>
  <si>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</si>
  <si>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</si>
  <si>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</si>
  <si>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</si>
  <si>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</si>
  <si>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</si>
  <si>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</si>
  <si>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</si>
  <si>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</si>
  <si>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</si>
  <si>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</si>
  <si>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</si>
  <si>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</si>
  <si>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</si>
  <si>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</si>
  <si>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</si>
  <si>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</si>
  <si>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</si>
  <si>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</si>
  <si>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</si>
  <si>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</si>
  <si>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</si>
  <si>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</si>
  <si>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</si>
  <si>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</si>
  <si>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</si>
  <si>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</si>
  <si>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</si>
  <si>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</si>
  <si>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</si>
  <si>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</si>
  <si>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</si>
  <si>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</si>
  <si>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</si>
  <si>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</si>
  <si>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</si>
  <si>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</si>
  <si>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</si>
  <si>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</si>
  <si>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</si>
  <si>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</si>
  <si>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</si>
  <si>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</si>
  <si>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</si>
  <si>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</si>
  <si>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</si>
  <si>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</si>
  <si>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</si>
  <si>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</si>
  <si>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</si>
  <si>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</si>
  <si>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</si>
  <si>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</si>
  <si>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</si>
  <si>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</si>
  <si>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</si>
  <si>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</si>
  <si>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</si>
  <si>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</si>
  <si>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</si>
  <si>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</si>
  <si>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</si>
  <si>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</si>
  <si>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</si>
  <si>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</si>
  <si>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</si>
  <si>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</si>
  <si>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</si>
  <si>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</si>
  <si>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</si>
  <si>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</si>
  <si>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</si>
  <si>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</si>
  <si>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</si>
  <si>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</si>
  <si>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</si>
  <si>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</si>
  <si>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</si>
  <si>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</si>
  <si>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</si>
  <si>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</si>
  <si>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</si>
  <si>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</si>
  <si>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</si>
  <si>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</si>
  <si>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</si>
  <si>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</si>
  <si>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</si>
  <si>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</si>
  <si>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</si>
  <si>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</si>
  <si>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</si>
  <si>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</si>
  <si>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</si>
  <si>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</si>
  <si>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</si>
  <si>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</si>
  <si>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</si>
  <si>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</si>
  <si>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</si>
  <si>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</si>
  <si>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</si>
  <si>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</si>
  <si>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</si>
  <si>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</si>
  <si>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</si>
  <si>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</si>
  <si>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</si>
  <si>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</si>
  <si>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</si>
  <si>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</si>
  <si>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</si>
  <si>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</si>
  <si>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</si>
  <si>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</si>
  <si>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</si>
  <si>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</si>
  <si>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</si>
  <si>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</si>
  <si>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</si>
  <si>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</si>
  <si>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</si>
  <si>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</si>
  <si>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</si>
  <si>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</si>
  <si>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</si>
  <si>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</si>
  <si>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</si>
  <si>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</si>
  <si>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</si>
  <si>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</si>
  <si>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</si>
  <si>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</si>
  <si>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</si>
  <si>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</si>
  <si>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</si>
  <si>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</si>
  <si>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</si>
  <si>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</si>
  <si>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</si>
  <si>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</si>
  <si>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</si>
  <si>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</si>
  <si>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</si>
  <si>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</si>
  <si>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</si>
  <si>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</si>
  <si>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</si>
  <si>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</si>
  <si>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</si>
  <si>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</si>
  <si>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</si>
  <si>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</si>
  <si>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</si>
  <si>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</si>
  <si>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</si>
  <si>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</si>
  <si>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</si>
  <si>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</si>
  <si>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</si>
  <si>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</si>
  <si>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</si>
  <si>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</si>
  <si>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</si>
  <si>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</si>
  <si>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</si>
  <si>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</si>
  <si>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</si>
  <si>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</si>
  <si>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</si>
  <si>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</si>
  <si>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</si>
  <si>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</si>
  <si>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</si>
  <si>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</si>
  <si>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</si>
  <si>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</si>
  <si>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</si>
  <si>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</si>
  <si>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</si>
  <si>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</si>
  <si>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</si>
  <si>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</si>
  <si>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</si>
  <si>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</si>
  <si>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</si>
  <si>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</si>
  <si>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</si>
  <si>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</si>
  <si>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</si>
  <si>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</si>
  <si>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</si>
  <si>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</si>
  <si>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</si>
  <si>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</si>
  <si>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</si>
  <si>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</si>
  <si>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</si>
  <si>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</si>
  <si>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</si>
  <si>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</si>
  <si>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</si>
  <si>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</si>
  <si>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</si>
  <si>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</si>
  <si>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</si>
  <si>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</si>
  <si>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</si>
  <si>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</si>
  <si>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</si>
  <si>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</si>
  <si>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</si>
  <si>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</si>
  <si>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</si>
  <si>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</si>
  <si>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</si>
  <si>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</si>
  <si>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</si>
  <si>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</si>
  <si>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</si>
  <si>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</si>
  <si>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</si>
  <si>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</si>
  <si>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</si>
  <si>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</si>
  <si>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</si>
  <si>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</si>
  <si>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</si>
  <si>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</si>
  <si>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</si>
  <si>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</si>
  <si>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</si>
  <si>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</si>
  <si>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</si>
  <si>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</si>
  <si>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</si>
  <si>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</si>
  <si>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</si>
  <si>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</si>
  <si>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</si>
  <si>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</si>
  <si>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</si>
  <si>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</si>
  <si>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</si>
  <si>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</si>
  <si>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</si>
  <si>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</si>
  <si>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</si>
  <si>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</si>
  <si>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</si>
  <si>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</si>
  <si>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</si>
  <si>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</si>
  <si>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</si>
  <si>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</si>
  <si>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</si>
  <si>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</si>
  <si>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</si>
  <si>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</si>
  <si>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</si>
  <si>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</si>
  <si>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</si>
  <si>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</si>
  <si>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</si>
  <si>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</si>
  <si>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</si>
  <si>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</si>
  <si>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</si>
  <si>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</si>
  <si>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</si>
  <si>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</si>
  <si>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</si>
  <si>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</si>
  <si>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</si>
  <si>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</si>
  <si>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</si>
  <si>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</si>
  <si>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</si>
  <si>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</si>
  <si>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</si>
  <si>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</si>
  <si>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</si>
  <si>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</si>
  <si>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</si>
  <si>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</si>
  <si>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</si>
  <si>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</si>
  <si>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</si>
  <si>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</si>
  <si>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</si>
  <si>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</si>
  <si>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</si>
  <si>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</si>
  <si>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</si>
  <si>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</si>
  <si>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</si>
  <si>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</si>
  <si>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</si>
  <si>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</si>
  <si>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</si>
  <si>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</si>
  <si>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</si>
  <si>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</si>
  <si>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</si>
  <si>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</si>
  <si>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</si>
  <si>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</si>
  <si>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</si>
  <si>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</si>
  <si>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</si>
  <si>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</si>
  <si>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</si>
  <si>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</si>
  <si>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</si>
  <si>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</si>
  <si>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</si>
  <si>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</si>
  <si>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</si>
  <si>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</si>
  <si>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</si>
  <si>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</si>
  <si>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</si>
  <si>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</si>
  <si>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</si>
  <si>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</si>
  <si>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</si>
  <si>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</si>
  <si>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</si>
  <si>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</si>
  <si>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</si>
  <si>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</si>
  <si>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</si>
  <si>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</si>
  <si>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</si>
  <si>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</si>
  <si>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</si>
  <si>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</si>
  <si>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</si>
  <si>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</si>
  <si>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</si>
  <si>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</si>
  <si>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</si>
  <si>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</si>
  <si>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</si>
  <si>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</si>
  <si>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</si>
  <si>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</si>
  <si>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</si>
  <si>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</si>
  <si>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</si>
  <si>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</si>
  <si>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</si>
  <si>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</si>
  <si>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</si>
  <si>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</si>
  <si>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</si>
  <si>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</si>
  <si>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</si>
  <si>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</si>
  <si>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</si>
  <si>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</si>
  <si>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</si>
  <si>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</si>
  <si>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</si>
  <si>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</si>
  <si>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</si>
  <si>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</si>
  <si>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</si>
  <si>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</si>
  <si>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</si>
  <si>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</si>
  <si>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</si>
  <si>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</si>
  <si>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</si>
  <si>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</si>
  <si>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</si>
  <si>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</si>
  <si>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</si>
  <si>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</si>
  <si>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</si>
  <si>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</si>
  <si>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</si>
  <si>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</si>
  <si>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</si>
  <si>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</si>
  <si>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</si>
  <si>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</si>
  <si>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</si>
  <si>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</si>
  <si>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</si>
  <si>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</si>
  <si>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</si>
  <si>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</si>
  <si>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</si>
  <si>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</si>
  <si>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</si>
  <si>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</si>
  <si>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</si>
  <si>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</si>
  <si>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</si>
  <si>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</si>
  <si>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</si>
  <si>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</si>
  <si>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</si>
  <si>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</si>
  <si>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</si>
  <si>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</si>
  <si>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</si>
  <si>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</si>
  <si>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</si>
  <si>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</si>
  <si>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</si>
  <si>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</si>
  <si>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</si>
  <si>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</si>
  <si>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</si>
  <si>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</si>
  <si>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</si>
  <si>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</si>
  <si>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</si>
  <si>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</si>
  <si>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</si>
  <si>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</si>
  <si>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</si>
  <si>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</si>
  <si>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</si>
  <si>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</si>
  <si>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</si>
  <si>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</si>
  <si>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</si>
  <si>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</si>
  <si>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</si>
  <si>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</si>
  <si>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</si>
  <si>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</si>
  <si>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</si>
  <si>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</si>
  <si>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</si>
  <si>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</si>
  <si>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</si>
  <si>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</si>
  <si>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</si>
  <si>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</si>
  <si>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</si>
  <si>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</si>
  <si>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</si>
  <si>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</si>
  <si>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</si>
  <si>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</si>
  <si>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</si>
  <si>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</si>
  <si>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</si>
  <si>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</si>
  <si>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</si>
  <si>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</si>
  <si>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</si>
  <si>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</si>
  <si>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</si>
  <si>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</si>
  <si>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</si>
  <si>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</si>
  <si>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</si>
  <si>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</si>
  <si>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</si>
  <si>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</si>
  <si>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</si>
  <si>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</si>
  <si>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</si>
  <si>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</si>
  <si>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</si>
  <si>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</si>
  <si>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</si>
  <si>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</si>
  <si>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</si>
  <si>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</si>
  <si>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</si>
  <si>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</si>
  <si>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</si>
  <si>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</si>
  <si>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</si>
  <si>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</si>
  <si>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</si>
  <si>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</si>
  <si>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</si>
  <si>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</si>
  <si>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</si>
  <si>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</si>
  <si>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</si>
  <si>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</si>
  <si>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</si>
  <si>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</si>
  <si>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</si>
  <si>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</si>
  <si>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</si>
  <si>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</si>
  <si>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</si>
  <si>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</si>
  <si>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</si>
  <si>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</si>
  <si>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</si>
  <si>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</si>
  <si>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</si>
  <si>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</si>
  <si>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</si>
  <si>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</si>
  <si>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</si>
  <si>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</si>
  <si>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</si>
  <si>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</si>
  <si>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</si>
  <si>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</si>
  <si>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</si>
  <si>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</si>
  <si>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</si>
  <si>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</si>
  <si>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</si>
  <si>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</si>
  <si>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</si>
  <si>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</si>
  <si>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</si>
  <si>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</si>
  <si>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</si>
  <si>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</si>
  <si>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</si>
  <si>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</si>
  <si>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</si>
  <si>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</si>
  <si>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</si>
  <si>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</si>
  <si>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</si>
  <si>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</si>
  <si>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</si>
  <si>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</si>
  <si>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</si>
  <si>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</si>
  <si>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</si>
  <si>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</si>
  <si>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</si>
  <si>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</si>
  <si>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</si>
  <si>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</si>
  <si>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</si>
  <si>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23105</t>
  </si>
  <si>
    <t>AFFLIGEM</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</si>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</sst>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351D68CF-8327-456C-8EF1-25CF2CD778C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112496.74068260631</c:v>
                </c:pt>
                <c:pt idx="1">
                  <c:v>18931.271707462467</c:v>
                </c:pt>
                <c:pt idx="2">
                  <c:v>845.30899999999997</c:v>
                </c:pt>
                <c:pt idx="3">
                  <c:v>932.98531900804642</c:v>
                </c:pt>
                <c:pt idx="4">
                  <c:v>3947.0757574481727</c:v>
                </c:pt>
                <c:pt idx="5">
                  <c:v>216984.00446693157</c:v>
                </c:pt>
                <c:pt idx="6">
                  <c:v>1446.5023706412817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112496.74068260631</c:v>
                </c:pt>
                <c:pt idx="1">
                  <c:v>18931.271707462467</c:v>
                </c:pt>
                <c:pt idx="2">
                  <c:v>845.30899999999997</c:v>
                </c:pt>
                <c:pt idx="3">
                  <c:v>932.98531900804642</c:v>
                </c:pt>
                <c:pt idx="4">
                  <c:v>3947.0757574481727</c:v>
                </c:pt>
                <c:pt idx="5">
                  <c:v>216984.00446693157</c:v>
                </c:pt>
                <c:pt idx="6">
                  <c:v>1446.5023706412817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23439.265451306484</c:v>
                </c:pt>
                <c:pt idx="2">
                  <c:v>3845.0167777907295</c:v>
                </c:pt>
                <c:pt idx="3">
                  <c:v>172.13407904033485</c:v>
                </c:pt>
                <c:pt idx="4">
                  <c:v>238.29519389178157</c:v>
                </c:pt>
                <c:pt idx="5">
                  <c:v>822.06868003692068</c:v>
                </c:pt>
                <c:pt idx="6">
                  <c:v>54336.236565055704</c:v>
                </c:pt>
                <c:pt idx="7">
                  <c:v>364.48233688730795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23439.265451306484</c:v>
                </c:pt>
                <c:pt idx="2">
                  <c:v>3845.0167777907295</c:v>
                </c:pt>
                <c:pt idx="3">
                  <c:v>172.13407904033485</c:v>
                </c:pt>
                <c:pt idx="4">
                  <c:v>238.29519389178157</c:v>
                </c:pt>
                <c:pt idx="5">
                  <c:v>822.06868003692068</c:v>
                </c:pt>
                <c:pt idx="6">
                  <c:v>54336.236565055704</c:v>
                </c:pt>
                <c:pt idx="7">
                  <c:v>364.48233688730795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23105</v>
      </c>
      <c r="B6" s="380"/>
      <c r="C6" s="381"/>
    </row>
    <row r="7" spans="1:7" s="378" customFormat="1" ht="15.75" customHeight="1">
      <c r="A7" s="382" t="str">
        <f>txtMunicipality</f>
        <v>AFFLIGEM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0.20363450411664238</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0.20363450411664238</v>
      </c>
      <c r="C29" s="489">
        <f ca="1">'EF ele_warmte'!B22</f>
        <v>0.23764705882352946</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5150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594.57000000000005</v>
      </c>
      <c r="C14" s="322"/>
      <c r="D14" s="322"/>
      <c r="E14" s="322"/>
      <c r="F14" s="322"/>
    </row>
    <row r="15" spans="1:6">
      <c r="A15" s="1248" t="s">
        <v>177</v>
      </c>
      <c r="B15" s="1249">
        <v>1</v>
      </c>
      <c r="C15" s="322"/>
      <c r="D15" s="322"/>
      <c r="E15" s="322"/>
      <c r="F15" s="322"/>
    </row>
    <row r="16" spans="1:6">
      <c r="A16" s="1248" t="s">
        <v>6</v>
      </c>
      <c r="B16" s="1249">
        <v>79</v>
      </c>
      <c r="C16" s="322"/>
      <c r="D16" s="322"/>
      <c r="E16" s="322"/>
      <c r="F16" s="322"/>
    </row>
    <row r="17" spans="1:6">
      <c r="A17" s="1248" t="s">
        <v>7</v>
      </c>
      <c r="B17" s="1249">
        <v>67</v>
      </c>
      <c r="C17" s="322"/>
      <c r="D17" s="322"/>
      <c r="E17" s="322"/>
      <c r="F17" s="322"/>
    </row>
    <row r="18" spans="1:6">
      <c r="A18" s="1248" t="s">
        <v>8</v>
      </c>
      <c r="B18" s="1249">
        <v>102</v>
      </c>
      <c r="C18" s="322"/>
      <c r="D18" s="322"/>
      <c r="E18" s="322"/>
      <c r="F18" s="322"/>
    </row>
    <row r="19" spans="1:6">
      <c r="A19" s="1248" t="s">
        <v>9</v>
      </c>
      <c r="B19" s="1249">
        <v>85</v>
      </c>
      <c r="C19" s="322"/>
      <c r="D19" s="322"/>
      <c r="E19" s="322"/>
      <c r="F19" s="322"/>
    </row>
    <row r="20" spans="1:6">
      <c r="A20" s="1248" t="s">
        <v>10</v>
      </c>
      <c r="B20" s="1249">
        <v>220</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106</v>
      </c>
      <c r="C29" s="322"/>
      <c r="D29" s="322"/>
      <c r="E29" s="322"/>
      <c r="F29" s="322"/>
    </row>
    <row r="30" spans="1:6">
      <c r="A30" s="1243" t="s">
        <v>692</v>
      </c>
      <c r="B30" s="1251">
        <v>20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2359</v>
      </c>
      <c r="D39" s="1249">
        <v>41309279.422599301</v>
      </c>
      <c r="E39" s="1249">
        <v>4991</v>
      </c>
      <c r="F39" s="1249">
        <v>21826429.208960701</v>
      </c>
    </row>
    <row r="40" spans="1:6">
      <c r="A40" s="1248" t="s">
        <v>29</v>
      </c>
      <c r="B40" s="1248" t="s">
        <v>28</v>
      </c>
      <c r="C40" s="1249">
        <v>1</v>
      </c>
      <c r="D40" s="1249">
        <v>31085.121776684799</v>
      </c>
      <c r="E40" s="1249">
        <v>1</v>
      </c>
      <c r="F40" s="1249">
        <v>7379.4356806704</v>
      </c>
    </row>
    <row r="41" spans="1:6">
      <c r="A41" s="1248" t="s">
        <v>31</v>
      </c>
      <c r="B41" s="1248" t="s">
        <v>32</v>
      </c>
      <c r="C41" s="1249">
        <v>29</v>
      </c>
      <c r="D41" s="1249">
        <v>658078.24714014598</v>
      </c>
      <c r="E41" s="1249">
        <v>77</v>
      </c>
      <c r="F41" s="1249">
        <v>442845.79450562602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4</v>
      </c>
      <c r="F44" s="1249">
        <v>50174.5260537102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18</v>
      </c>
      <c r="D48" s="1249">
        <v>892949.90661136794</v>
      </c>
      <c r="E48" s="1249">
        <v>31</v>
      </c>
      <c r="F48" s="1249">
        <v>911169.20126174798</v>
      </c>
    </row>
    <row r="49" spans="1:6">
      <c r="A49" s="1248" t="s">
        <v>31</v>
      </c>
      <c r="B49" s="1248" t="s">
        <v>39</v>
      </c>
      <c r="C49" s="1249">
        <v>0</v>
      </c>
      <c r="D49" s="1249">
        <v>0</v>
      </c>
      <c r="E49" s="1249">
        <v>0</v>
      </c>
      <c r="F49" s="1249">
        <v>0</v>
      </c>
    </row>
    <row r="50" spans="1:6">
      <c r="A50" s="1248" t="s">
        <v>31</v>
      </c>
      <c r="B50" s="1248" t="s">
        <v>40</v>
      </c>
      <c r="C50" s="1249">
        <v>4</v>
      </c>
      <c r="D50" s="1249">
        <v>238097.687316494</v>
      </c>
      <c r="E50" s="1249">
        <v>10</v>
      </c>
      <c r="F50" s="1249">
        <v>339949.43077582301</v>
      </c>
    </row>
    <row r="51" spans="1:6">
      <c r="A51" s="1248" t="s">
        <v>41</v>
      </c>
      <c r="B51" s="1248" t="s">
        <v>42</v>
      </c>
      <c r="C51" s="1249">
        <v>0</v>
      </c>
      <c r="D51" s="1249">
        <v>0</v>
      </c>
      <c r="E51" s="1249">
        <v>20</v>
      </c>
      <c r="F51" s="1249">
        <v>152443.693363839</v>
      </c>
    </row>
    <row r="52" spans="1:6">
      <c r="A52" s="1248" t="s">
        <v>41</v>
      </c>
      <c r="B52" s="1248" t="s">
        <v>28</v>
      </c>
      <c r="C52" s="1249">
        <v>2</v>
      </c>
      <c r="D52" s="1249">
        <v>58571.183389872</v>
      </c>
      <c r="E52" s="1249">
        <v>2</v>
      </c>
      <c r="F52" s="1249">
        <v>24129.668423365601</v>
      </c>
    </row>
    <row r="53" spans="1:6">
      <c r="A53" s="1248" t="s">
        <v>43</v>
      </c>
      <c r="B53" s="1248" t="s">
        <v>44</v>
      </c>
      <c r="C53" s="1249">
        <v>44</v>
      </c>
      <c r="D53" s="1249">
        <v>944200.98810547695</v>
      </c>
      <c r="E53" s="1249">
        <v>151</v>
      </c>
      <c r="F53" s="1249">
        <v>636615.42710322095</v>
      </c>
    </row>
    <row r="54" spans="1:6">
      <c r="A54" s="1248" t="s">
        <v>45</v>
      </c>
      <c r="B54" s="1248" t="s">
        <v>46</v>
      </c>
      <c r="C54" s="1249">
        <v>0</v>
      </c>
      <c r="D54" s="1249">
        <v>0</v>
      </c>
      <c r="E54" s="1249">
        <v>1</v>
      </c>
      <c r="F54" s="1249">
        <v>845309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14</v>
      </c>
      <c r="D57" s="1249">
        <v>1256425.88723854</v>
      </c>
      <c r="E57" s="1249">
        <v>48</v>
      </c>
      <c r="F57" s="1249">
        <v>512552.92246615002</v>
      </c>
    </row>
    <row r="58" spans="1:6">
      <c r="A58" s="1248" t="s">
        <v>48</v>
      </c>
      <c r="B58" s="1248" t="s">
        <v>50</v>
      </c>
      <c r="C58" s="1249">
        <v>10</v>
      </c>
      <c r="D58" s="1249">
        <v>337122.94482857699</v>
      </c>
      <c r="E58" s="1249">
        <v>31</v>
      </c>
      <c r="F58" s="1249">
        <v>309578.116722418</v>
      </c>
    </row>
    <row r="59" spans="1:6">
      <c r="A59" s="1248" t="s">
        <v>48</v>
      </c>
      <c r="B59" s="1248" t="s">
        <v>51</v>
      </c>
      <c r="C59" s="1249">
        <v>32</v>
      </c>
      <c r="D59" s="1249">
        <v>1186698.3570494601</v>
      </c>
      <c r="E59" s="1249">
        <v>93</v>
      </c>
      <c r="F59" s="1249">
        <v>1794346.6641236399</v>
      </c>
    </row>
    <row r="60" spans="1:6">
      <c r="A60" s="1248" t="s">
        <v>48</v>
      </c>
      <c r="B60" s="1248" t="s">
        <v>52</v>
      </c>
      <c r="C60" s="1249">
        <v>26</v>
      </c>
      <c r="D60" s="1249">
        <v>1886656.6103713301</v>
      </c>
      <c r="E60" s="1249">
        <v>48</v>
      </c>
      <c r="F60" s="1249">
        <v>1588497.7210108</v>
      </c>
    </row>
    <row r="61" spans="1:6">
      <c r="A61" s="1248" t="s">
        <v>48</v>
      </c>
      <c r="B61" s="1248" t="s">
        <v>53</v>
      </c>
      <c r="C61" s="1249">
        <v>51</v>
      </c>
      <c r="D61" s="1249">
        <v>2254990.9383926601</v>
      </c>
      <c r="E61" s="1249">
        <v>167</v>
      </c>
      <c r="F61" s="1249">
        <v>1777113.68419783</v>
      </c>
    </row>
    <row r="62" spans="1:6">
      <c r="A62" s="1248" t="s">
        <v>48</v>
      </c>
      <c r="B62" s="1248" t="s">
        <v>54</v>
      </c>
      <c r="C62" s="1249">
        <v>0</v>
      </c>
      <c r="D62" s="1249">
        <v>0</v>
      </c>
      <c r="E62" s="1249">
        <v>3</v>
      </c>
      <c r="F62" s="1249">
        <v>30011</v>
      </c>
    </row>
    <row r="63" spans="1:6">
      <c r="A63" s="1248" t="s">
        <v>48</v>
      </c>
      <c r="B63" s="1248" t="s">
        <v>28</v>
      </c>
      <c r="C63" s="1249">
        <v>76</v>
      </c>
      <c r="D63" s="1249">
        <v>4398507.6552264802</v>
      </c>
      <c r="E63" s="1249">
        <v>89</v>
      </c>
      <c r="F63" s="1249">
        <v>1100647.54269359</v>
      </c>
    </row>
    <row r="64" spans="1:6">
      <c r="A64" s="1248" t="s">
        <v>55</v>
      </c>
      <c r="B64" s="1248" t="s">
        <v>56</v>
      </c>
      <c r="C64" s="1249">
        <v>0</v>
      </c>
      <c r="D64" s="1249">
        <v>0</v>
      </c>
      <c r="E64" s="1249">
        <v>0</v>
      </c>
      <c r="F64" s="1249">
        <v>0</v>
      </c>
    </row>
    <row r="65" spans="1:6">
      <c r="A65" s="1248" t="s">
        <v>55</v>
      </c>
      <c r="B65" s="1248" t="s">
        <v>28</v>
      </c>
      <c r="C65" s="1249">
        <v>4</v>
      </c>
      <c r="D65" s="1249">
        <v>106878.131812109</v>
      </c>
      <c r="E65" s="1249">
        <v>3</v>
      </c>
      <c r="F65" s="1249">
        <v>79285.998226139607</v>
      </c>
    </row>
    <row r="66" spans="1:6">
      <c r="A66" s="1248" t="s">
        <v>55</v>
      </c>
      <c r="B66" s="1248" t="s">
        <v>57</v>
      </c>
      <c r="C66" s="1249">
        <v>0</v>
      </c>
      <c r="D66" s="1249">
        <v>0</v>
      </c>
      <c r="E66" s="1249">
        <v>7</v>
      </c>
      <c r="F66" s="1249">
        <v>117008.806838155</v>
      </c>
    </row>
    <row r="67" spans="1:6">
      <c r="A67" s="1248" t="s">
        <v>55</v>
      </c>
      <c r="B67" s="1248" t="s">
        <v>58</v>
      </c>
      <c r="C67" s="1249">
        <v>0</v>
      </c>
      <c r="D67" s="1249">
        <v>0</v>
      </c>
      <c r="E67" s="1249">
        <v>0</v>
      </c>
      <c r="F67" s="1249">
        <v>0</v>
      </c>
    </row>
    <row r="68" spans="1:6">
      <c r="A68" s="1243" t="s">
        <v>55</v>
      </c>
      <c r="B68" s="1243" t="s">
        <v>59</v>
      </c>
      <c r="C68" s="1251">
        <v>0</v>
      </c>
      <c r="D68" s="1251">
        <v>0</v>
      </c>
      <c r="E68" s="1251">
        <v>8</v>
      </c>
      <c r="F68" s="1251">
        <v>49668.504945993198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19015520</v>
      </c>
      <c r="E73" s="439"/>
      <c r="F73" s="322"/>
    </row>
    <row r="74" spans="1:6">
      <c r="A74" s="1248" t="s">
        <v>63</v>
      </c>
      <c r="B74" s="1248" t="s">
        <v>617</v>
      </c>
      <c r="C74" s="1261" t="s">
        <v>619</v>
      </c>
      <c r="D74" s="1249">
        <v>1047631.5</v>
      </c>
      <c r="E74" s="439"/>
      <c r="F74" s="322"/>
    </row>
    <row r="75" spans="1:6">
      <c r="A75" s="1248" t="s">
        <v>64</v>
      </c>
      <c r="B75" s="1248" t="s">
        <v>616</v>
      </c>
      <c r="C75" s="1261" t="s">
        <v>620</v>
      </c>
      <c r="D75" s="1249">
        <v>27558634</v>
      </c>
      <c r="E75" s="439"/>
      <c r="F75" s="322"/>
    </row>
    <row r="76" spans="1:6">
      <c r="A76" s="1248" t="s">
        <v>64</v>
      </c>
      <c r="B76" s="1248" t="s">
        <v>617</v>
      </c>
      <c r="C76" s="1261" t="s">
        <v>621</v>
      </c>
      <c r="D76" s="1249">
        <v>1249996.5</v>
      </c>
      <c r="E76" s="439"/>
      <c r="F76" s="322"/>
    </row>
    <row r="77" spans="1:6">
      <c r="A77" s="1248" t="s">
        <v>65</v>
      </c>
      <c r="B77" s="1248" t="s">
        <v>616</v>
      </c>
      <c r="C77" s="1261" t="s">
        <v>622</v>
      </c>
      <c r="D77" s="1249">
        <v>172258456</v>
      </c>
      <c r="E77" s="439"/>
      <c r="F77" s="322"/>
    </row>
    <row r="78" spans="1:6">
      <c r="A78" s="1243" t="s">
        <v>65</v>
      </c>
      <c r="B78" s="1243" t="s">
        <v>617</v>
      </c>
      <c r="C78" s="1243" t="s">
        <v>623</v>
      </c>
      <c r="D78" s="1251">
        <v>21677427</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393429</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2623.1718500613988</v>
      </c>
      <c r="C91" s="322"/>
      <c r="D91" s="322"/>
      <c r="E91" s="322"/>
      <c r="F91" s="322"/>
    </row>
    <row r="92" spans="1:6">
      <c r="A92" s="1243" t="s">
        <v>68</v>
      </c>
      <c r="B92" s="1244">
        <v>142.63609737997436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664</v>
      </c>
      <c r="C97" s="322"/>
      <c r="D97" s="322"/>
      <c r="E97" s="322"/>
      <c r="F97" s="322"/>
    </row>
    <row r="98" spans="1:6">
      <c r="A98" s="1248" t="s">
        <v>71</v>
      </c>
      <c r="B98" s="1249">
        <v>1</v>
      </c>
      <c r="C98" s="322"/>
      <c r="D98" s="322"/>
      <c r="E98" s="322"/>
      <c r="F98" s="322"/>
    </row>
    <row r="99" spans="1:6">
      <c r="A99" s="1248" t="s">
        <v>72</v>
      </c>
      <c r="B99" s="1249">
        <v>102</v>
      </c>
      <c r="C99" s="322"/>
      <c r="D99" s="322"/>
      <c r="E99" s="322"/>
      <c r="F99" s="322"/>
    </row>
    <row r="100" spans="1:6">
      <c r="A100" s="1248" t="s">
        <v>73</v>
      </c>
      <c r="B100" s="1249">
        <v>471</v>
      </c>
      <c r="C100" s="322"/>
      <c r="D100" s="322"/>
      <c r="E100" s="322"/>
      <c r="F100" s="322"/>
    </row>
    <row r="101" spans="1:6">
      <c r="A101" s="1248" t="s">
        <v>74</v>
      </c>
      <c r="B101" s="1249">
        <v>40</v>
      </c>
      <c r="C101" s="322"/>
      <c r="D101" s="322"/>
      <c r="E101" s="322"/>
      <c r="F101" s="322"/>
    </row>
    <row r="102" spans="1:6">
      <c r="A102" s="1248" t="s">
        <v>75</v>
      </c>
      <c r="B102" s="1249">
        <v>52</v>
      </c>
      <c r="C102" s="322"/>
      <c r="D102" s="322"/>
      <c r="E102" s="322"/>
      <c r="F102" s="322"/>
    </row>
    <row r="103" spans="1:6">
      <c r="A103" s="1248" t="s">
        <v>76</v>
      </c>
      <c r="B103" s="1249">
        <v>128</v>
      </c>
      <c r="C103" s="322"/>
      <c r="D103" s="322"/>
      <c r="E103" s="322"/>
      <c r="F103" s="322"/>
    </row>
    <row r="104" spans="1:6">
      <c r="A104" s="1248" t="s">
        <v>77</v>
      </c>
      <c r="B104" s="1249">
        <v>2995</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35</v>
      </c>
      <c r="C123" s="1249">
        <v>20</v>
      </c>
      <c r="D123" s="322"/>
      <c r="E123" s="322"/>
      <c r="F123" s="322"/>
    </row>
    <row r="124" spans="1:6">
      <c r="A124" s="1248" t="s">
        <v>88</v>
      </c>
      <c r="B124" s="1249">
        <v>3</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108</v>
      </c>
      <c r="C129" s="322"/>
      <c r="D129" s="322"/>
      <c r="E129" s="322"/>
      <c r="F129" s="322"/>
    </row>
    <row r="130" spans="1:6">
      <c r="A130" s="1248" t="s">
        <v>283</v>
      </c>
      <c r="B130" s="1249">
        <v>2</v>
      </c>
      <c r="C130" s="322"/>
      <c r="D130" s="322"/>
      <c r="E130" s="322"/>
      <c r="F130" s="322"/>
    </row>
    <row r="131" spans="1:6">
      <c r="A131" s="1248" t="s">
        <v>284</v>
      </c>
      <c r="B131" s="1249">
        <v>1</v>
      </c>
      <c r="C131" s="322"/>
      <c r="D131" s="322"/>
      <c r="E131" s="322"/>
      <c r="F131" s="322"/>
    </row>
    <row r="132" spans="1:6">
      <c r="A132" s="1243" t="s">
        <v>285</v>
      </c>
      <c r="B132" s="1244">
        <v>31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35159.914499610422</v>
      </c>
      <c r="C3" s="43" t="s">
        <v>163</v>
      </c>
      <c r="D3" s="43"/>
      <c r="E3" s="153"/>
      <c r="F3" s="43"/>
      <c r="G3" s="43"/>
      <c r="H3" s="43"/>
      <c r="I3" s="43"/>
      <c r="J3" s="43"/>
      <c r="K3" s="96"/>
    </row>
    <row r="4" spans="1:11">
      <c r="A4" s="348" t="s">
        <v>164</v>
      </c>
      <c r="B4" s="49">
        <f>IF(ISERROR('SEAP template'!B78+'SEAP template'!C78),0,'SEAP template'!B78+'SEAP template'!C78)</f>
        <v>2806.307947441373</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9.6247058823529414</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0.20363450411664238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13.749579831932778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57.857142857142861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0.23764705882352946</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845.30899999999997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845.30899999999997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0.20363450411664238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172.13407904033485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21833.808644641369</v>
      </c>
      <c r="C5" s="17">
        <f>IF(ISERROR('Eigen informatie GS &amp; warmtenet'!B57),0,'Eigen informatie GS &amp; warmtenet'!B57)</f>
        <v>0</v>
      </c>
      <c r="D5" s="30">
        <f>(SUM(HH_hh_gas_kWh,HH_rest_gas_kWh)/1000)*0.902</f>
        <v>37289.008819027142</v>
      </c>
      <c r="E5" s="17">
        <f>B32*B41</f>
        <v>1691.9425515922085</v>
      </c>
      <c r="F5" s="17">
        <f>B36*B45</f>
        <v>39217.911987191546</v>
      </c>
      <c r="G5" s="18"/>
      <c r="H5" s="17"/>
      <c r="I5" s="17"/>
      <c r="J5" s="17">
        <f>B35*B44+C35*C44</f>
        <v>201.54552215320189</v>
      </c>
      <c r="K5" s="17"/>
      <c r="L5" s="17"/>
      <c r="M5" s="17"/>
      <c r="N5" s="17">
        <f>B34*B43+C34*C43</f>
        <v>8122.0813079394466</v>
      </c>
      <c r="O5" s="17">
        <f>B52*B53*B54</f>
        <v>201.67000000000004</v>
      </c>
      <c r="P5" s="17">
        <f>B60*B61*B62/1000-B60*B61*B62/1000/B63</f>
        <v>1315.6</v>
      </c>
    </row>
    <row r="6" spans="1:16">
      <c r="A6" s="16" t="s">
        <v>582</v>
      </c>
      <c r="B6" s="716">
        <f>kWh_PV_kleiner_dan_10kW</f>
        <v>2623.1718500613988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24456.980494702766</v>
      </c>
      <c r="C8" s="21">
        <f>C5</f>
        <v>0</v>
      </c>
      <c r="D8" s="21">
        <f>D5</f>
        <v>37289.008819027142</v>
      </c>
      <c r="E8" s="21">
        <f>E5</f>
        <v>1691.9425515922085</v>
      </c>
      <c r="F8" s="21">
        <f>F5</f>
        <v>39217.911987191546</v>
      </c>
      <c r="G8" s="21"/>
      <c r="H8" s="21"/>
      <c r="I8" s="21"/>
      <c r="J8" s="21">
        <f>J5</f>
        <v>201.54552215320189</v>
      </c>
      <c r="K8" s="21"/>
      <c r="L8" s="21">
        <f>L5</f>
        <v>0</v>
      </c>
      <c r="M8" s="21">
        <f>M5</f>
        <v>0</v>
      </c>
      <c r="N8" s="21">
        <f>N5</f>
        <v>8122.0813079394466</v>
      </c>
      <c r="O8" s="21">
        <f>O5</f>
        <v>201.67000000000004</v>
      </c>
      <c r="P8" s="21">
        <f>P5</f>
        <v>1315.6</v>
      </c>
    </row>
    <row r="9" spans="1:16">
      <c r="B9" s="19"/>
      <c r="C9" s="19"/>
      <c r="D9" s="253"/>
      <c r="E9" s="19"/>
      <c r="F9" s="19"/>
      <c r="G9" s="19"/>
      <c r="H9" s="19"/>
      <c r="I9" s="19"/>
      <c r="J9" s="19"/>
      <c r="K9" s="19"/>
      <c r="L9" s="19"/>
      <c r="M9" s="19"/>
      <c r="N9" s="19"/>
      <c r="O9" s="19"/>
      <c r="P9" s="19"/>
    </row>
    <row r="10" spans="1:16">
      <c r="A10" s="24" t="s">
        <v>207</v>
      </c>
      <c r="B10" s="25">
        <f ca="1">'EF ele_warmte'!B12</f>
        <v>0.20363450411664238</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4980.2850952291928</v>
      </c>
      <c r="C12" s="23">
        <f ca="1">C10*C8</f>
        <v>0</v>
      </c>
      <c r="D12" s="23">
        <f>D8*D10</f>
        <v>7532.3797814434829</v>
      </c>
      <c r="E12" s="23">
        <f>E10*E8</f>
        <v>384.07095921143133</v>
      </c>
      <c r="F12" s="23">
        <f>F10*F8</f>
        <v>10471.182500580144</v>
      </c>
      <c r="G12" s="23"/>
      <c r="H12" s="23"/>
      <c r="I12" s="23"/>
      <c r="J12" s="23">
        <f>J10*J8</f>
        <v>71.347114842233466</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5150</v>
      </c>
      <c r="C26" s="36"/>
      <c r="D26" s="224"/>
    </row>
    <row r="27" spans="1:5" s="15" customFormat="1">
      <c r="A27" s="226" t="s">
        <v>736</v>
      </c>
      <c r="B27" s="37">
        <f>SUM(HH_hh_gas_aantal,HH_rest_gas_aantal)</f>
        <v>2360</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2242</v>
      </c>
      <c r="C31" s="34" t="s">
        <v>104</v>
      </c>
      <c r="D31" s="170"/>
    </row>
    <row r="32" spans="1:5">
      <c r="A32" s="167" t="s">
        <v>72</v>
      </c>
      <c r="B32" s="33">
        <f>IF((B21*($B$26-($B$27-0.05*$B$27)-$B$60))&lt;0,0,B21*($B$26-($B$27-0.05*$B$27)-$B$60))</f>
        <v>31.265433010644546</v>
      </c>
      <c r="C32" s="34" t="s">
        <v>104</v>
      </c>
      <c r="D32" s="170"/>
    </row>
    <row r="33" spans="1:6">
      <c r="A33" s="167" t="s">
        <v>73</v>
      </c>
      <c r="B33" s="33">
        <f>IF((B22*($B$26-($B$27-0.05*$B$27)-$B$60))&lt;0,0,B22*($B$26-($B$27-0.05*$B$27)-$B$60))</f>
        <v>650.03460804157487</v>
      </c>
      <c r="C33" s="34" t="s">
        <v>104</v>
      </c>
      <c r="D33" s="170"/>
    </row>
    <row r="34" spans="1:6">
      <c r="A34" s="167" t="s">
        <v>74</v>
      </c>
      <c r="B34" s="33">
        <f>IF((B24*($B$26-($B$27-0.05*$B$27)-$B$60))&lt;0,0,B24*($B$26-($B$27-0.05*$B$27)-$B$60))</f>
        <v>253.70627904162549</v>
      </c>
      <c r="C34" s="33">
        <f>B26*C24</f>
        <v>912.19188959934775</v>
      </c>
      <c r="D34" s="229"/>
    </row>
    <row r="35" spans="1:6">
      <c r="A35" s="167" t="s">
        <v>76</v>
      </c>
      <c r="B35" s="33">
        <f>IF((B19*($B$26-($B$27-0.05*$B$27)-$B$60))&lt;0,0,B19*($B$26-($B$27-0.05*$B$27)-$B$60))</f>
        <v>23.664561416234505</v>
      </c>
      <c r="C35" s="33">
        <f>B35/2</f>
        <v>11.832280708117253</v>
      </c>
      <c r="D35" s="229"/>
    </row>
    <row r="36" spans="1:6">
      <c r="A36" s="167" t="s">
        <v>77</v>
      </c>
      <c r="B36" s="33">
        <f>IF((B18*($B$26-($B$27-0.05*$B$27)-$B$60))&lt;0,0,B18*($B$26-($B$27-0.05*$B$27)-$B$60))</f>
        <v>1880.3291184899206</v>
      </c>
      <c r="C36" s="34" t="s">
        <v>104</v>
      </c>
      <c r="D36" s="170"/>
    </row>
    <row r="37" spans="1:6">
      <c r="A37" s="167" t="s">
        <v>78</v>
      </c>
      <c r="B37" s="33">
        <f>B60</f>
        <v>69</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129</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69</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7112.7476512144276</v>
      </c>
      <c r="C5" s="17">
        <f>IF(ISERROR('Eigen informatie GS &amp; warmtenet'!B58),0,'Eigen informatie GS &amp; warmtenet'!B58)</f>
        <v>0</v>
      </c>
      <c r="D5" s="30">
        <f>SUM(D6:D12)</f>
        <v>10211.002958582558</v>
      </c>
      <c r="E5" s="17">
        <f>SUM(E6:E12)</f>
        <v>91.763481221739383</v>
      </c>
      <c r="F5" s="17">
        <f>SUM(F6:F12)</f>
        <v>1178.0440160679943</v>
      </c>
      <c r="G5" s="18"/>
      <c r="H5" s="17"/>
      <c r="I5" s="17"/>
      <c r="J5" s="17">
        <f>SUM(J6:J12)</f>
        <v>7.8678907619997782E-3</v>
      </c>
      <c r="K5" s="17"/>
      <c r="L5" s="17"/>
      <c r="M5" s="17"/>
      <c r="N5" s="17">
        <f>SUM(N6:N12)</f>
        <v>332.86954200879296</v>
      </c>
      <c r="O5" s="17">
        <f>B38*B39*B40</f>
        <v>3.1266666666666669</v>
      </c>
      <c r="P5" s="17">
        <f>B46*B47*B48/1000-B46*B47*B48/1000/B49</f>
        <v>19.066666666666666</v>
      </c>
      <c r="R5" s="32"/>
    </row>
    <row r="6" spans="1:18">
      <c r="A6" s="32" t="s">
        <v>53</v>
      </c>
      <c r="B6" s="37">
        <f>B26</f>
        <v>1777.11368419783</v>
      </c>
      <c r="C6" s="33"/>
      <c r="D6" s="37">
        <f>IF(ISERROR(TER_kantoor_gas_kWh/1000),0,TER_kantoor_gas_kWh/1000)*0.902</f>
        <v>2034.0018264301796</v>
      </c>
      <c r="E6" s="33">
        <f>$C$26*'E Balans VL '!I12/100/3.6*1000000</f>
        <v>-1.4592416546710366E-4</v>
      </c>
      <c r="F6" s="33">
        <f>$C$26*('E Balans VL '!L12+'E Balans VL '!N12)/100/3.6*1000000</f>
        <v>225.21607052699542</v>
      </c>
      <c r="G6" s="34"/>
      <c r="H6" s="33"/>
      <c r="I6" s="33"/>
      <c r="J6" s="33">
        <f>$C$26*('E Balans VL '!D12+'E Balans VL '!E12)/100/3.6*1000000</f>
        <v>0</v>
      </c>
      <c r="K6" s="33"/>
      <c r="L6" s="33"/>
      <c r="M6" s="33"/>
      <c r="N6" s="33">
        <f>$C$26*'E Balans VL '!Y12/100/3.6*1000000</f>
        <v>2.1797350485949298</v>
      </c>
      <c r="O6" s="33"/>
      <c r="P6" s="33"/>
      <c r="R6" s="32"/>
    </row>
    <row r="7" spans="1:18">
      <c r="A7" s="32" t="s">
        <v>52</v>
      </c>
      <c r="B7" s="37">
        <f t="shared" ref="B7:B12" si="0">B27</f>
        <v>1588.4977210108</v>
      </c>
      <c r="C7" s="33"/>
      <c r="D7" s="37">
        <f>IF(ISERROR(TER_horeca_gas_kWh/1000),0,TER_horeca_gas_kWh/1000)*0.902</f>
        <v>1701.7642625549397</v>
      </c>
      <c r="E7" s="33">
        <f>$C$27*'E Balans VL '!I9/100/3.6*1000000</f>
        <v>18.28438671669873</v>
      </c>
      <c r="F7" s="33">
        <f>$C$27*('E Balans VL '!L9+'E Balans VL '!N9)/100/3.6*1000000</f>
        <v>204.81110593055541</v>
      </c>
      <c r="G7" s="34"/>
      <c r="H7" s="33"/>
      <c r="I7" s="33"/>
      <c r="J7" s="33">
        <f>$C$27*('E Balans VL '!D9+'E Balans VL '!E9)/100/3.6*1000000</f>
        <v>0</v>
      </c>
      <c r="K7" s="33"/>
      <c r="L7" s="33"/>
      <c r="M7" s="33"/>
      <c r="N7" s="33">
        <f>$C$27*'E Balans VL '!Y9/100/3.6*1000000</f>
        <v>16.766229424310971</v>
      </c>
      <c r="O7" s="33"/>
      <c r="P7" s="33"/>
      <c r="R7" s="32"/>
    </row>
    <row r="8" spans="1:18">
      <c r="A8" s="6" t="s">
        <v>51</v>
      </c>
      <c r="B8" s="37">
        <f t="shared" si="0"/>
        <v>1794.34666412364</v>
      </c>
      <c r="C8" s="33"/>
      <c r="D8" s="37">
        <f>IF(ISERROR(TER_handel_gas_kWh/1000),0,TER_handel_gas_kWh/1000)*0.902</f>
        <v>1070.4019180586131</v>
      </c>
      <c r="E8" s="33">
        <f>$C$28*'E Balans VL '!I13/100/3.6*1000000</f>
        <v>50.626423468042077</v>
      </c>
      <c r="F8" s="33">
        <f>$C$28*('E Balans VL '!L13+'E Balans VL '!N13)/100/3.6*1000000</f>
        <v>180.47280576835885</v>
      </c>
      <c r="G8" s="34"/>
      <c r="H8" s="33"/>
      <c r="I8" s="33"/>
      <c r="J8" s="33">
        <f>$C$28*('E Balans VL '!D13+'E Balans VL '!E13)/100/3.6*1000000</f>
        <v>0</v>
      </c>
      <c r="K8" s="33"/>
      <c r="L8" s="33"/>
      <c r="M8" s="33"/>
      <c r="N8" s="33">
        <f>$C$28*'E Balans VL '!Y13/100/3.6*1000000</f>
        <v>2.4768945827256101</v>
      </c>
      <c r="O8" s="33"/>
      <c r="P8" s="33"/>
      <c r="R8" s="32"/>
    </row>
    <row r="9" spans="1:18">
      <c r="A9" s="32" t="s">
        <v>50</v>
      </c>
      <c r="B9" s="37">
        <f t="shared" si="0"/>
        <v>309.57811672241797</v>
      </c>
      <c r="C9" s="33"/>
      <c r="D9" s="37">
        <f>IF(ISERROR(TER_gezond_gas_kWh/1000),0,TER_gezond_gas_kWh/1000)*0.902</f>
        <v>304.08489623537645</v>
      </c>
      <c r="E9" s="33">
        <f>$C$29*'E Balans VL '!I10/100/3.6*1000000</f>
        <v>0.6184417686032303</v>
      </c>
      <c r="F9" s="33">
        <f>$C$29*('E Balans VL '!L10+'E Balans VL '!N10)/100/3.6*1000000</f>
        <v>27.125252860009571</v>
      </c>
      <c r="G9" s="34"/>
      <c r="H9" s="33"/>
      <c r="I9" s="33"/>
      <c r="J9" s="33">
        <f>$C$29*('E Balans VL '!D10+'E Balans VL '!E10)/100/3.6*1000000</f>
        <v>0</v>
      </c>
      <c r="K9" s="33"/>
      <c r="L9" s="33"/>
      <c r="M9" s="33"/>
      <c r="N9" s="33">
        <f>$C$29*'E Balans VL '!Y10/100/3.6*1000000</f>
        <v>4.6828140099848898</v>
      </c>
      <c r="O9" s="33"/>
      <c r="P9" s="33"/>
      <c r="R9" s="32"/>
    </row>
    <row r="10" spans="1:18">
      <c r="A10" s="32" t="s">
        <v>49</v>
      </c>
      <c r="B10" s="37">
        <f t="shared" si="0"/>
        <v>512.55292246614999</v>
      </c>
      <c r="C10" s="33"/>
      <c r="D10" s="37">
        <f>IF(ISERROR(TER_ander_gas_kWh/1000),0,TER_ander_gas_kWh/1000)*0.902</f>
        <v>1133.2961502891633</v>
      </c>
      <c r="E10" s="33">
        <f>$C$30*'E Balans VL '!I14/100/3.6*1000000</f>
        <v>7.2206338335362554</v>
      </c>
      <c r="F10" s="33">
        <f>$C$30*('E Balans VL '!L14+'E Balans VL '!N14)/100/3.6*1000000</f>
        <v>310.92117413704483</v>
      </c>
      <c r="G10" s="34"/>
      <c r="H10" s="33"/>
      <c r="I10" s="33"/>
      <c r="J10" s="33">
        <f>$C$30*('E Balans VL '!D14+'E Balans VL '!E14)/100/3.6*1000000</f>
        <v>5.6268457696984917E-3</v>
      </c>
      <c r="K10" s="33"/>
      <c r="L10" s="33"/>
      <c r="M10" s="33"/>
      <c r="N10" s="33">
        <f>$C$30*'E Balans VL '!Y14/100/3.6*1000000</f>
        <v>216.77464621664456</v>
      </c>
      <c r="O10" s="33"/>
      <c r="P10" s="33"/>
      <c r="R10" s="32"/>
    </row>
    <row r="11" spans="1:18">
      <c r="A11" s="32" t="s">
        <v>54</v>
      </c>
      <c r="B11" s="37">
        <f t="shared" si="0"/>
        <v>30.010999999999999</v>
      </c>
      <c r="C11" s="33"/>
      <c r="D11" s="37">
        <f>IF(ISERROR(TER_onderwijs_gas_kWh/1000),0,TER_onderwijs_gas_kWh/1000)*0.902</f>
        <v>0</v>
      </c>
      <c r="E11" s="33">
        <f>$C$31*'E Balans VL '!I11/100/3.6*1000000</f>
        <v>0.7833018514031771</v>
      </c>
      <c r="F11" s="33">
        <f>$C$31*('E Balans VL '!L11+'E Balans VL '!N11)/100/3.6*1000000</f>
        <v>3.693105734448618</v>
      </c>
      <c r="G11" s="34"/>
      <c r="H11" s="33"/>
      <c r="I11" s="33"/>
      <c r="J11" s="33">
        <f>$C$31*('E Balans VL '!D11+'E Balans VL '!E11)/100/3.6*1000000</f>
        <v>0</v>
      </c>
      <c r="K11" s="33"/>
      <c r="L11" s="33"/>
      <c r="M11" s="33"/>
      <c r="N11" s="33">
        <f>$C$31*'E Balans VL '!Y11/100/3.6*1000000</f>
        <v>9.5035982960521292E-2</v>
      </c>
      <c r="O11" s="33"/>
      <c r="P11" s="33"/>
      <c r="R11" s="32"/>
    </row>
    <row r="12" spans="1:18">
      <c r="A12" s="32" t="s">
        <v>248</v>
      </c>
      <c r="B12" s="37">
        <f t="shared" si="0"/>
        <v>1100.6475426935901</v>
      </c>
      <c r="C12" s="33"/>
      <c r="D12" s="37">
        <f>IF(ISERROR(TER_rest_gas_kWh/1000),0,TER_rest_gas_kWh/1000)*0.902</f>
        <v>3967.4539050142848</v>
      </c>
      <c r="E12" s="33">
        <f>$C$32*'E Balans VL '!I8/100/3.6*1000000</f>
        <v>14.230439507621373</v>
      </c>
      <c r="F12" s="33">
        <f>$C$32*('E Balans VL '!L8+'E Balans VL '!N8)/100/3.6*1000000</f>
        <v>225.8045011105817</v>
      </c>
      <c r="G12" s="34"/>
      <c r="H12" s="33"/>
      <c r="I12" s="33"/>
      <c r="J12" s="33">
        <f>$C$32*('E Balans VL '!D8+'E Balans VL '!E8)/100/3.6*1000000</f>
        <v>2.241044992301286E-3</v>
      </c>
      <c r="K12" s="33"/>
      <c r="L12" s="33"/>
      <c r="M12" s="33"/>
      <c r="N12" s="33">
        <f>$C$32*'E Balans VL '!Y8/100/3.6*1000000</f>
        <v>89.894186743571481</v>
      </c>
      <c r="O12" s="33"/>
      <c r="P12" s="33"/>
      <c r="R12" s="32"/>
    </row>
    <row r="13" spans="1:18">
      <c r="A13" s="16" t="s">
        <v>473</v>
      </c>
      <c r="B13" s="242">
        <f ca="1">'lokale energieproductie'!N38+'lokale energieproductie'!N31</f>
        <v>40.5</v>
      </c>
      <c r="C13" s="242">
        <f ca="1">'lokale energieproductie'!O38+'lokale energieproductie'!O31</f>
        <v>57.857142857142861</v>
      </c>
      <c r="D13" s="300">
        <f ca="1">('lokale energieproductie'!P31+'lokale energieproductie'!P38)*(-1)</f>
        <v>-115.71428571428572</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7153.2476512144276</v>
      </c>
      <c r="C16" s="21">
        <f t="shared" ca="1" si="1"/>
        <v>57.857142857142861</v>
      </c>
      <c r="D16" s="21">
        <f t="shared" ca="1" si="1"/>
        <v>10095.288672868272</v>
      </c>
      <c r="E16" s="21">
        <f t="shared" si="1"/>
        <v>91.763481221739383</v>
      </c>
      <c r="F16" s="21">
        <f t="shared" ca="1" si="1"/>
        <v>1178.0440160679943</v>
      </c>
      <c r="G16" s="21">
        <f t="shared" si="1"/>
        <v>0</v>
      </c>
      <c r="H16" s="21">
        <f t="shared" si="1"/>
        <v>0</v>
      </c>
      <c r="I16" s="21">
        <f t="shared" si="1"/>
        <v>0</v>
      </c>
      <c r="J16" s="21">
        <f t="shared" si="1"/>
        <v>7.8678907619997782E-3</v>
      </c>
      <c r="K16" s="21">
        <f t="shared" si="1"/>
        <v>0</v>
      </c>
      <c r="L16" s="21">
        <f t="shared" ca="1" si="1"/>
        <v>0</v>
      </c>
      <c r="M16" s="21">
        <f t="shared" si="1"/>
        <v>0</v>
      </c>
      <c r="N16" s="21">
        <f t="shared" ca="1" si="1"/>
        <v>332.86954200879296</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0.20363450411664238</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1456.6480382785869</v>
      </c>
      <c r="C20" s="23">
        <f t="shared" ref="C20:P20" ca="1" si="2">C16*C18</f>
        <v>13.749579831932778</v>
      </c>
      <c r="D20" s="23">
        <f t="shared" ca="1" si="2"/>
        <v>2039.248311919391</v>
      </c>
      <c r="E20" s="23">
        <f t="shared" si="2"/>
        <v>20.830310237334842</v>
      </c>
      <c r="F20" s="23">
        <f t="shared" ca="1" si="2"/>
        <v>314.53775229015451</v>
      </c>
      <c r="G20" s="23">
        <f t="shared" si="2"/>
        <v>0</v>
      </c>
      <c r="H20" s="23">
        <f t="shared" si="2"/>
        <v>0</v>
      </c>
      <c r="I20" s="23">
        <f t="shared" si="2"/>
        <v>0</v>
      </c>
      <c r="J20" s="23">
        <f t="shared" si="2"/>
        <v>2.7852333297479215E-3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1777.11368419783</v>
      </c>
      <c r="C26" s="39">
        <f>IF(ISERROR(B26*3.6/1000000/'E Balans VL '!Z12*100),0,B26*3.6/1000000/'E Balans VL '!Z12*100)</f>
        <v>4.817907922686842E-2</v>
      </c>
      <c r="D26" s="232" t="s">
        <v>700</v>
      </c>
      <c r="F26" s="6"/>
    </row>
    <row r="27" spans="1:18">
      <c r="A27" s="227" t="s">
        <v>52</v>
      </c>
      <c r="B27" s="33">
        <f>IF(ISERROR(TER_horeca_ele_kWh/1000),0,TER_horeca_ele_kWh/1000)</f>
        <v>1588.4977210108</v>
      </c>
      <c r="C27" s="39">
        <f>IF(ISERROR(B27*3.6/1000000/'E Balans VL '!Z9*100),0,B27*3.6/1000000/'E Balans VL '!Z9*100)</f>
        <v>0.12287196502321913</v>
      </c>
      <c r="D27" s="232" t="s">
        <v>700</v>
      </c>
      <c r="F27" s="6"/>
    </row>
    <row r="28" spans="1:18">
      <c r="A28" s="167" t="s">
        <v>51</v>
      </c>
      <c r="B28" s="33">
        <f>IF(ISERROR(TER_handel_ele_kWh/1000),0,TER_handel_ele_kWh/1000)</f>
        <v>1794.34666412364</v>
      </c>
      <c r="C28" s="39">
        <f>IF(ISERROR(B28*3.6/1000000/'E Balans VL '!Z13*100),0,B28*3.6/1000000/'E Balans VL '!Z13*100)</f>
        <v>5.189714625663739E-2</v>
      </c>
      <c r="D28" s="232" t="s">
        <v>700</v>
      </c>
      <c r="F28" s="6"/>
    </row>
    <row r="29" spans="1:18">
      <c r="A29" s="227" t="s">
        <v>50</v>
      </c>
      <c r="B29" s="33">
        <f>IF(ISERROR(TER_gezond_ele_kWh/1000),0,TER_gezond_ele_kWh/1000)</f>
        <v>309.57811672241797</v>
      </c>
      <c r="C29" s="39">
        <f>IF(ISERROR(B29*3.6/1000000/'E Balans VL '!Z10*100),0,B29*3.6/1000000/'E Balans VL '!Z10*100)</f>
        <v>3.1883509994273196E-2</v>
      </c>
      <c r="D29" s="232" t="s">
        <v>700</v>
      </c>
      <c r="F29" s="6"/>
    </row>
    <row r="30" spans="1:18">
      <c r="A30" s="227" t="s">
        <v>49</v>
      </c>
      <c r="B30" s="33">
        <f>IF(ISERROR(TER_ander_ele_kWh/1000),0,TER_ander_ele_kWh/1000)</f>
        <v>512.55292246614999</v>
      </c>
      <c r="C30" s="39">
        <f>IF(ISERROR(B30*3.6/1000000/'E Balans VL '!Z14*100),0,B30*3.6/1000000/'E Balans VL '!Z14*100)</f>
        <v>2.3045102128457982E-2</v>
      </c>
      <c r="D30" s="232" t="s">
        <v>700</v>
      </c>
      <c r="F30" s="6"/>
    </row>
    <row r="31" spans="1:18">
      <c r="A31" s="227" t="s">
        <v>54</v>
      </c>
      <c r="B31" s="33">
        <f>IF(ISERROR(TER_onderwijs_ele_kWh/1000),0,TER_onderwijs_ele_kWh/1000)</f>
        <v>30.010999999999999</v>
      </c>
      <c r="C31" s="39">
        <f>IF(ISERROR(B31*3.6/1000000/'E Balans VL '!Z11*100),0,B31*3.6/1000000/'E Balans VL '!Z11*100)</f>
        <v>8.3870819852373771E-3</v>
      </c>
      <c r="D31" s="232" t="s">
        <v>700</v>
      </c>
    </row>
    <row r="32" spans="1:18">
      <c r="A32" s="227" t="s">
        <v>248</v>
      </c>
      <c r="B32" s="33">
        <f>IF(ISERROR(TER_rest_ele_kWh/1000),0,TER_rest_ele_kWh/1000)</f>
        <v>1100.6475426935901</v>
      </c>
      <c r="C32" s="39">
        <f>IF(ISERROR(B32*3.6/1000000/'E Balans VL '!Z8*100),0,B32*3.6/1000000/'E Balans VL '!Z8*100)</f>
        <v>9.1783412653977589E-3</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1744.1389525969073</v>
      </c>
      <c r="C5" s="17">
        <f>IF(ISERROR('Eigen informatie GS &amp; warmtenet'!B59),0,'Eigen informatie GS &amp; warmtenet'!B59)</f>
        <v>0</v>
      </c>
      <c r="D5" s="30">
        <f>SUM(D6:D15)</f>
        <v>1613.7915086433431</v>
      </c>
      <c r="E5" s="17">
        <f>SUM(E6:E15)</f>
        <v>53.040246081500307</v>
      </c>
      <c r="F5" s="17">
        <f>SUM(F6:F15)</f>
        <v>478.4265444209434</v>
      </c>
      <c r="G5" s="18"/>
      <c r="H5" s="17"/>
      <c r="I5" s="17"/>
      <c r="J5" s="17">
        <f>SUM(J6:J15)</f>
        <v>3.2087608685923188</v>
      </c>
      <c r="K5" s="17"/>
      <c r="L5" s="17"/>
      <c r="M5" s="17"/>
      <c r="N5" s="17">
        <f>SUM(N6:N15)</f>
        <v>54.469744836886392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50.174526053710203</v>
      </c>
      <c r="C8" s="33"/>
      <c r="D8" s="37">
        <f>IF( ISERROR(IND_metaal_Gas_kWH/1000),0,IND_metaal_Gas_kWH/1000)*0.902</f>
        <v>0</v>
      </c>
      <c r="E8" s="33">
        <f>C30*'E Balans VL '!I18/100/3.6*1000000</f>
        <v>0.45534919657899803</v>
      </c>
      <c r="F8" s="33">
        <f>C30*'E Balans VL '!L18/100/3.6*1000000+C30*'E Balans VL '!N18/100/3.6*1000000</f>
        <v>4.618167927168825</v>
      </c>
      <c r="G8" s="34"/>
      <c r="H8" s="33"/>
      <c r="I8" s="33"/>
      <c r="J8" s="40">
        <f>C30*'E Balans VL '!D18/100/3.6*1000000+C30*'E Balans VL '!E18/100/3.6*1000000</f>
        <v>0</v>
      </c>
      <c r="K8" s="33"/>
      <c r="L8" s="33"/>
      <c r="M8" s="33"/>
      <c r="N8" s="33">
        <f>C30*'E Balans VL '!Y18/100/3.6*1000000</f>
        <v>0.7325085685923356</v>
      </c>
      <c r="O8" s="33"/>
      <c r="P8" s="33"/>
      <c r="R8" s="32"/>
    </row>
    <row r="9" spans="1:18">
      <c r="A9" s="6" t="s">
        <v>32</v>
      </c>
      <c r="B9" s="37">
        <f t="shared" si="0"/>
        <v>442.84579450562603</v>
      </c>
      <c r="C9" s="33"/>
      <c r="D9" s="37">
        <f>IF( ISERROR(IND_andere_gas_kWh/1000),0,IND_andere_gas_kWh/1000)*0.902</f>
        <v>593.58657892041174</v>
      </c>
      <c r="E9" s="33">
        <f>C31*'E Balans VL '!I19/100/3.6*1000000</f>
        <v>2.5703770728139488</v>
      </c>
      <c r="F9" s="33">
        <f>C31*'E Balans VL '!L19/100/3.6*1000000+C31*'E Balans VL '!N19/100/3.6*1000000</f>
        <v>292.05182887401662</v>
      </c>
      <c r="G9" s="34"/>
      <c r="H9" s="33"/>
      <c r="I9" s="33"/>
      <c r="J9" s="40">
        <f>C31*'E Balans VL '!D19/100/3.6*1000000+C31*'E Balans VL '!E19/100/3.6*1000000</f>
        <v>0</v>
      </c>
      <c r="K9" s="33"/>
      <c r="L9" s="33"/>
      <c r="M9" s="33"/>
      <c r="N9" s="33">
        <f>C31*'E Balans VL '!Y19/100/3.6*1000000</f>
        <v>20.508573691111945</v>
      </c>
      <c r="O9" s="33"/>
      <c r="P9" s="33"/>
      <c r="R9" s="32"/>
    </row>
    <row r="10" spans="1:18">
      <c r="A10" s="6" t="s">
        <v>40</v>
      </c>
      <c r="B10" s="37">
        <f t="shared" si="0"/>
        <v>339.94943077582303</v>
      </c>
      <c r="C10" s="33"/>
      <c r="D10" s="37">
        <f>IF( ISERROR(IND_voed_gas_kWh/1000),0,IND_voed_gas_kWh/1000)*0.902</f>
        <v>214.76411395947761</v>
      </c>
      <c r="E10" s="33">
        <f>C32*'E Balans VL '!I20/100/3.6*1000000</f>
        <v>0.72043213944828022</v>
      </c>
      <c r="F10" s="33">
        <f>C32*'E Balans VL '!L20/100/3.6*1000000+C32*'E Balans VL '!N20/100/3.6*1000000</f>
        <v>21.605190601372239</v>
      </c>
      <c r="G10" s="34"/>
      <c r="H10" s="33"/>
      <c r="I10" s="33"/>
      <c r="J10" s="40">
        <f>C32*'E Balans VL '!D20/100/3.6*1000000+C32*'E Balans VL '!E20/100/3.6*1000000</f>
        <v>0</v>
      </c>
      <c r="K10" s="33"/>
      <c r="L10" s="33"/>
      <c r="M10" s="33"/>
      <c r="N10" s="33">
        <f>C32*'E Balans VL '!Y20/100/3.6*1000000</f>
        <v>9.8547574745008006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911.16920126174796</v>
      </c>
      <c r="C15" s="33"/>
      <c r="D15" s="37">
        <f>IF( ISERROR(IND_rest_gas_kWh/1000),0,IND_rest_gas_kWh/1000)*0.902</f>
        <v>805.44081576345388</v>
      </c>
      <c r="E15" s="33">
        <f>C37*'E Balans VL '!I15/100/3.6*1000000</f>
        <v>49.294087672659082</v>
      </c>
      <c r="F15" s="33">
        <f>C37*'E Balans VL '!L15/100/3.6*1000000+C37*'E Balans VL '!N15/100/3.6*1000000</f>
        <v>160.15135701838577</v>
      </c>
      <c r="G15" s="34"/>
      <c r="H15" s="33"/>
      <c r="I15" s="33"/>
      <c r="J15" s="40">
        <f>C37*'E Balans VL '!D15/100/3.6*1000000+C37*'E Balans VL '!E15/100/3.6*1000000</f>
        <v>3.2087608685923188</v>
      </c>
      <c r="K15" s="33"/>
      <c r="L15" s="33"/>
      <c r="M15" s="33"/>
      <c r="N15" s="33">
        <f>C37*'E Balans VL '!Y15/100/3.6*1000000</f>
        <v>23.373905102681313</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1744.1389525969073</v>
      </c>
      <c r="C18" s="21">
        <f>C5+C16</f>
        <v>0</v>
      </c>
      <c r="D18" s="21">
        <f>MAX((D5+D16),0)</f>
        <v>1613.7915086433431</v>
      </c>
      <c r="E18" s="21">
        <f>MAX((E5+E16),0)</f>
        <v>53.040246081500307</v>
      </c>
      <c r="F18" s="21">
        <f>MAX((F5+F16),0)</f>
        <v>478.4265444209434</v>
      </c>
      <c r="G18" s="21"/>
      <c r="H18" s="21"/>
      <c r="I18" s="21"/>
      <c r="J18" s="21">
        <f>MAX((J5+J16),0)</f>
        <v>3.2087608685923188</v>
      </c>
      <c r="K18" s="21"/>
      <c r="L18" s="21">
        <f>MAX((L5+L16),0)</f>
        <v>0</v>
      </c>
      <c r="M18" s="21"/>
      <c r="N18" s="21">
        <f>MAX((N5+N16),0)</f>
        <v>54.469744836886392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0.20363450411664238</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355.16687072259128</v>
      </c>
      <c r="C22" s="23">
        <f ca="1">C18*C20</f>
        <v>0</v>
      </c>
      <c r="D22" s="23">
        <f>D18*D20</f>
        <v>325.98588474595533</v>
      </c>
      <c r="E22" s="23">
        <f>E18*E20</f>
        <v>12.04013586050057</v>
      </c>
      <c r="F22" s="23">
        <f>F18*F20</f>
        <v>127.73988736039189</v>
      </c>
      <c r="G22" s="23"/>
      <c r="H22" s="23"/>
      <c r="I22" s="23"/>
      <c r="J22" s="23">
        <f>J18*J20</f>
        <v>1.1359013474816808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50.174526053710203</v>
      </c>
      <c r="C30" s="39">
        <f>IF(ISERROR(B30*3.6/1000000/'E Balans VL '!Z18*100),0,B30*3.6/1000000/'E Balans VL '!Z18*100)</f>
        <v>2.9098023278024375E-3</v>
      </c>
      <c r="D30" s="232" t="s">
        <v>700</v>
      </c>
    </row>
    <row r="31" spans="1:18">
      <c r="A31" s="6" t="s">
        <v>32</v>
      </c>
      <c r="B31" s="37">
        <f>IF( ISERROR(IND_ander_ele_kWh/1000),0,IND_ander_ele_kWh/1000)</f>
        <v>442.84579450562603</v>
      </c>
      <c r="C31" s="39">
        <f>IF(ISERROR(B31*3.6/1000000/'E Balans VL '!Z19*100),0,B31*3.6/1000000/'E Balans VL '!Z19*100)</f>
        <v>1.8494906843897211E-2</v>
      </c>
      <c r="D31" s="232" t="s">
        <v>700</v>
      </c>
    </row>
    <row r="32" spans="1:18">
      <c r="A32" s="167" t="s">
        <v>40</v>
      </c>
      <c r="B32" s="37">
        <f>IF( ISERROR(IND_voed_ele_kWh/1000),0,IND_voed_ele_kWh/1000)</f>
        <v>339.94943077582303</v>
      </c>
      <c r="C32" s="39">
        <f>IF(ISERROR(B32*3.6/1000000/'E Balans VL '!Z20*100),0,B32*3.6/1000000/'E Balans VL '!Z20*100)</f>
        <v>1.0543891904183632E-2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911.16920126174796</v>
      </c>
      <c r="C37" s="39">
        <f>IF(ISERROR(B37*3.6/1000000/'E Balans VL '!Z15*100),0,B37*3.6/1000000/'E Balans VL '!Z15*100)</f>
        <v>7.104331203922106E-3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176.57336178720459</v>
      </c>
      <c r="C5" s="17">
        <f>'Eigen informatie GS &amp; warmtenet'!B60</f>
        <v>0</v>
      </c>
      <c r="D5" s="30">
        <f>IF(ISERROR(SUM(LB_lb_gas_kWh,LB_rest_gas_kWh)/1000),0,SUM(LB_lb_gas_kWh,LB_rest_gas_kWh)/1000)*0.902</f>
        <v>52.831207417664544</v>
      </c>
      <c r="E5" s="17">
        <f>B17*'E Balans VL '!I25/3.6*1000000/100</f>
        <v>5.7303860333266572</v>
      </c>
      <c r="F5" s="17">
        <f>B17*('E Balans VL '!L25/3.6*1000000+'E Balans VL '!N25/3.6*1000000)/100</f>
        <v>651.413395154309</v>
      </c>
      <c r="G5" s="18"/>
      <c r="H5" s="17"/>
      <c r="I5" s="17"/>
      <c r="J5" s="17">
        <f>('E Balans VL '!D25+'E Balans VL '!E25)/3.6*1000000*landbouw!B17/100</f>
        <v>46.43696861554173</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176.57336178720459</v>
      </c>
      <c r="C8" s="21">
        <f>C5+C6</f>
        <v>0</v>
      </c>
      <c r="D8" s="21">
        <f>MAX((D5+D6),0)</f>
        <v>52.831207417664544</v>
      </c>
      <c r="E8" s="21">
        <f>MAX((E5+E6),0)</f>
        <v>5.7303860333266572</v>
      </c>
      <c r="F8" s="21">
        <f>MAX((F5+F6),0)</f>
        <v>651.413395154309</v>
      </c>
      <c r="G8" s="21"/>
      <c r="H8" s="21"/>
      <c r="I8" s="21"/>
      <c r="J8" s="21">
        <f>MAX((J5+J6),0)</f>
        <v>46.43696861554173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0.20363450411664238</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35.9564289677459</v>
      </c>
      <c r="C12" s="23">
        <f ca="1">C8*C10</f>
        <v>0</v>
      </c>
      <c r="D12" s="23">
        <f>D8*D10</f>
        <v>10.671903898368239</v>
      </c>
      <c r="E12" s="23">
        <f>E8*E10</f>
        <v>1.3007976295651513</v>
      </c>
      <c r="F12" s="23">
        <f>F8*F10</f>
        <v>173.92737650620052</v>
      </c>
      <c r="G12" s="23"/>
      <c r="H12" s="23"/>
      <c r="I12" s="23"/>
      <c r="J12" s="23">
        <f>J8*J10</f>
        <v>16.438686889901771</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2.5056314019632209E-2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33.332839466149174</v>
      </c>
      <c r="C26" s="242">
        <f>B26*'GWP N2O_CH4'!B5</f>
        <v>699.98962878913267</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4.1268195746795087</v>
      </c>
      <c r="C27" s="242">
        <f>B27*'GWP N2O_CH4'!B5</f>
        <v>86.663211068269675</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0.50619142045089072</v>
      </c>
      <c r="C28" s="242">
        <f>B28*'GWP N2O_CH4'!B4</f>
        <v>156.91934033977611</v>
      </c>
      <c r="D28" s="50"/>
    </row>
    <row r="29" spans="1:4">
      <c r="A29" s="41" t="s">
        <v>265</v>
      </c>
      <c r="B29" s="242">
        <f>B34*'ha_N2O bodem landbouw'!B4</f>
        <v>3.8684153457208961</v>
      </c>
      <c r="C29" s="242">
        <f>B29*'GWP N2O_CH4'!B4</f>
        <v>1199.2087571734778</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8.8275905074116311E-4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4.7748604021552053E-4</v>
      </c>
      <c r="C5" s="427" t="s">
        <v>204</v>
      </c>
      <c r="D5" s="412">
        <f>SUM(D6:D11)</f>
        <v>7.0553181550882423E-4</v>
      </c>
      <c r="E5" s="412">
        <f>SUM(E6:E11)</f>
        <v>1.4212963148894646E-3</v>
      </c>
      <c r="F5" s="425" t="s">
        <v>204</v>
      </c>
      <c r="G5" s="412">
        <f>SUM(G6:G11)</f>
        <v>0.61297448111507491</v>
      </c>
      <c r="H5" s="412">
        <f>SUM(H6:H11)</f>
        <v>0.12603968214152989</v>
      </c>
      <c r="I5" s="427" t="s">
        <v>204</v>
      </c>
      <c r="J5" s="427" t="s">
        <v>204</v>
      </c>
      <c r="K5" s="427" t="s">
        <v>204</v>
      </c>
      <c r="L5" s="427" t="s">
        <v>204</v>
      </c>
      <c r="M5" s="412">
        <f>SUM(M6:M11)</f>
        <v>3.9523938653734991E-2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3.3354084599909983E-5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5.6357113375322154E-5</v>
      </c>
      <c r="E6" s="818">
        <f>vkm_GW_PW*SUMIFS(TableVerdeelsleutelVkm[LPG],TableVerdeelsleutelVkm[Voertuigtype],"Lichte voertuigen")*SUMIFS(TableECFTransport[EnergieConsumptieFactor (PJ per km)],TableECFTransport[Index],CONCATENATE($A6,"_LPG_LPG"))</f>
        <v>9.7965600657953146E-5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2.9671182295648236E-2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9.7712646621297174E-3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2.0212266985178183E-3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3.0641694660023259E-7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9.8421860994404847E-3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1.9636063210237064E-7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5.7503612915085582E-4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6.3924737504175439E-5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1.3828743222179168E-4</v>
      </c>
      <c r="E8" s="415">
        <f>vkm_NGW_PW*SUMIFS(TableVerdeelsleutelVkm[LPG],TableVerdeelsleutelVkm[Voertuigtype],"Lichte voertuigen")*SUMIFS(TableECFTransport[EnergieConsumptieFactor (PJ per km)],TableECFTransport[Index],CONCATENATE($A8,"_LPG_LPG"))</f>
        <v>2.2948641257105725E-4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6.4912368248094238E-2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2.3423093100462797E-2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4.4821329376953127E-3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3.6560576003201279E-7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1.5067489164336388E-2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2.827946026998773E-7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8.8032733734553093E-4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3.7319486391277593E-4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5.108872699117104E-4</v>
      </c>
      <c r="E10" s="415">
        <f>vkm_SW_PW*SUMIFS(TableVerdeelsleutelVkm[LPG],TableVerdeelsleutelVkm[Voertuigtype],"Lichte voertuigen")*SUMIFS(TableECFTransport[EnergieConsumptieFactor (PJ per km)],TableECFTransport[Index],CONCATENATE($A10,"_LPG_LPG"))</f>
        <v>1.0938443016604543E-3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0.29950515698357622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9.284066322354384E-2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2.0232026561271085E-2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6.3403314920269589E-6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0.19397609832397933</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4.1820001587159943E-6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1.1333188989754387E-2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132.63501117097792</v>
      </c>
      <c r="C14" s="21"/>
      <c r="D14" s="21">
        <f t="shared" ref="D14:M14" si="0">((D5)*10^9/3600)+D12</f>
        <v>195.98105986356228</v>
      </c>
      <c r="E14" s="21">
        <f t="shared" si="0"/>
        <v>394.80453191374016</v>
      </c>
      <c r="F14" s="21"/>
      <c r="G14" s="21">
        <f t="shared" si="0"/>
        <v>170270.68919863191</v>
      </c>
      <c r="H14" s="21">
        <f t="shared" si="0"/>
        <v>35011.022817091638</v>
      </c>
      <c r="I14" s="21"/>
      <c r="J14" s="21"/>
      <c r="K14" s="21"/>
      <c r="L14" s="21"/>
      <c r="M14" s="21">
        <f t="shared" si="0"/>
        <v>10978.87184825972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0.20363450411664238</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27.009064728307411</v>
      </c>
      <c r="C18" s="23"/>
      <c r="D18" s="23">
        <f t="shared" ref="D18:M18" si="1">D14*D16</f>
        <v>39.58817409243958</v>
      </c>
      <c r="E18" s="23">
        <f t="shared" si="1"/>
        <v>89.620628744419022</v>
      </c>
      <c r="F18" s="23"/>
      <c r="G18" s="23">
        <f t="shared" si="1"/>
        <v>45462.274016034724</v>
      </c>
      <c r="H18" s="23">
        <f t="shared" si="1"/>
        <v>8717.744681455817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5.1892563725699744E-5</v>
      </c>
      <c r="C50" s="311">
        <f t="shared" ref="C50:P50" si="2">SUM(C51:C52)</f>
        <v>0</v>
      </c>
      <c r="D50" s="311">
        <f t="shared" si="2"/>
        <v>0</v>
      </c>
      <c r="E50" s="311">
        <f t="shared" si="2"/>
        <v>0</v>
      </c>
      <c r="F50" s="311">
        <f t="shared" si="2"/>
        <v>0</v>
      </c>
      <c r="G50" s="311">
        <f t="shared" si="2"/>
        <v>4.8747913719576199E-3</v>
      </c>
      <c r="H50" s="311">
        <f t="shared" si="2"/>
        <v>0</v>
      </c>
      <c r="I50" s="311">
        <f t="shared" si="2"/>
        <v>0</v>
      </c>
      <c r="J50" s="311">
        <f t="shared" si="2"/>
        <v>0</v>
      </c>
      <c r="K50" s="311">
        <f t="shared" si="2"/>
        <v>0</v>
      </c>
      <c r="L50" s="311">
        <f t="shared" si="2"/>
        <v>0</v>
      </c>
      <c r="M50" s="311">
        <f t="shared" si="2"/>
        <v>2.8072459862529489E-4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5.1892563725699744E-5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4.8747913719576199E-3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2.8072459862529489E-4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14.414601034916595</v>
      </c>
      <c r="C54" s="21">
        <f t="shared" ref="C54:P54" si="3">(C50)*10^9/3600</f>
        <v>0</v>
      </c>
      <c r="D54" s="21">
        <f t="shared" si="3"/>
        <v>0</v>
      </c>
      <c r="E54" s="21">
        <f t="shared" si="3"/>
        <v>0</v>
      </c>
      <c r="F54" s="21">
        <f t="shared" si="3"/>
        <v>0</v>
      </c>
      <c r="G54" s="21">
        <f t="shared" si="3"/>
        <v>1354.1087144326721</v>
      </c>
      <c r="H54" s="21">
        <f t="shared" si="3"/>
        <v>0</v>
      </c>
      <c r="I54" s="21">
        <f t="shared" si="3"/>
        <v>0</v>
      </c>
      <c r="J54" s="21">
        <f t="shared" si="3"/>
        <v>0</v>
      </c>
      <c r="K54" s="21">
        <f t="shared" si="3"/>
        <v>0</v>
      </c>
      <c r="L54" s="21">
        <f t="shared" si="3"/>
        <v>0</v>
      </c>
      <c r="M54" s="21">
        <f t="shared" si="3"/>
        <v>77.979055173693013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0.20363450411664238</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2.9353101337844811</v>
      </c>
      <c r="C58" s="23">
        <f t="shared" ref="C58:P58" ca="1" si="4">C54*C56</f>
        <v>0</v>
      </c>
      <c r="D58" s="23">
        <f t="shared" si="4"/>
        <v>0</v>
      </c>
      <c r="E58" s="23">
        <f t="shared" si="4"/>
        <v>0</v>
      </c>
      <c r="F58" s="23">
        <f t="shared" si="4"/>
        <v>0</v>
      </c>
      <c r="G58" s="23">
        <f t="shared" si="4"/>
        <v>361.54702675352348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2765.807947441373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40.5</v>
      </c>
      <c r="C8" s="534">
        <f>B48</f>
        <v>47.647058823529413</v>
      </c>
      <c r="D8" s="962"/>
      <c r="E8" s="962">
        <f>E48</f>
        <v>0</v>
      </c>
      <c r="F8" s="963"/>
      <c r="G8" s="535"/>
      <c r="H8" s="962">
        <f>I48</f>
        <v>0</v>
      </c>
      <c r="I8" s="962">
        <f>G48+F48</f>
        <v>0</v>
      </c>
      <c r="J8" s="962">
        <f>H48+D48+C48</f>
        <v>0</v>
      </c>
      <c r="K8" s="962"/>
      <c r="L8" s="962"/>
      <c r="M8" s="962"/>
      <c r="N8" s="536"/>
      <c r="O8" s="537">
        <f>C8*$C$12+D8*$D$12+E8*$E$12+F8*$F$12+G8*$G$12+H8*$H$12+I8*$I$12+J8*$J$12</f>
        <v>9.6247058823529414</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2806.307947441373</v>
      </c>
      <c r="C10" s="547">
        <f t="shared" ref="C10:L10" si="0">SUM(C8:C9)</f>
        <v>47.647058823529413</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9.6247058823529414</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57.857142857142861</v>
      </c>
      <c r="C17" s="559">
        <f>B49</f>
        <v>68.067226890756316</v>
      </c>
      <c r="D17" s="560"/>
      <c r="E17" s="560">
        <f>E49</f>
        <v>0</v>
      </c>
      <c r="F17" s="968"/>
      <c r="G17" s="561"/>
      <c r="H17" s="559">
        <f>I49</f>
        <v>0</v>
      </c>
      <c r="I17" s="560">
        <f>G49+F49</f>
        <v>0</v>
      </c>
      <c r="J17" s="560">
        <f>H49+D49+C49</f>
        <v>0</v>
      </c>
      <c r="K17" s="560"/>
      <c r="L17" s="560"/>
      <c r="M17" s="560"/>
      <c r="N17" s="969"/>
      <c r="O17" s="562">
        <f>C17*$C$22+E17*$E$22+H17*$H$22+I17*$I$22+J17*$J$22+D17*$D$22+F17*$F$22+G17*$G$22+K17*$K$22+L17*$L$22</f>
        <v>13.749579831932778</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57.857142857142861</v>
      </c>
      <c r="C20" s="546">
        <f>SUM(C17:C19)</f>
        <v>68.067226890756316</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13.749579831932778</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63.75" hidden="1">
      <c r="A28" s="569"/>
      <c r="B28" s="724">
        <v>23105</v>
      </c>
      <c r="C28" s="724">
        <v>1790</v>
      </c>
      <c r="D28" s="617"/>
      <c r="E28" s="616"/>
      <c r="F28" s="616"/>
      <c r="G28" s="616" t="s">
        <v>878</v>
      </c>
      <c r="H28" s="616" t="s">
        <v>879</v>
      </c>
      <c r="I28" s="616"/>
      <c r="J28" s="723"/>
      <c r="K28" s="723"/>
      <c r="L28" s="616" t="s">
        <v>880</v>
      </c>
      <c r="M28" s="616">
        <v>9</v>
      </c>
      <c r="N28" s="616">
        <v>40.5</v>
      </c>
      <c r="O28" s="616">
        <v>57.857142857142861</v>
      </c>
      <c r="P28" s="616">
        <v>115.71428571428572</v>
      </c>
      <c r="Q28" s="616">
        <v>0</v>
      </c>
      <c r="R28" s="616">
        <v>0</v>
      </c>
      <c r="S28" s="616">
        <v>0</v>
      </c>
      <c r="T28" s="616">
        <v>0</v>
      </c>
      <c r="U28" s="616">
        <v>0</v>
      </c>
      <c r="V28" s="616">
        <v>0</v>
      </c>
      <c r="W28" s="616">
        <v>0</v>
      </c>
      <c r="X28" s="616"/>
      <c r="Y28" s="616">
        <v>1600</v>
      </c>
      <c r="Z28" s="616" t="s">
        <v>49</v>
      </c>
      <c r="AA28" s="618" t="s">
        <v>149</v>
      </c>
    </row>
    <row r="29" spans="1:27" s="554" customFormat="1" hidden="1">
      <c r="A29" s="572" t="s">
        <v>268</v>
      </c>
      <c r="B29" s="573"/>
      <c r="C29" s="573"/>
      <c r="D29" s="573"/>
      <c r="E29" s="573"/>
      <c r="F29" s="573"/>
      <c r="G29" s="573"/>
      <c r="H29" s="573"/>
      <c r="I29" s="573"/>
      <c r="J29" s="573"/>
      <c r="K29" s="573"/>
      <c r="L29" s="574"/>
      <c r="M29" s="574">
        <f>SUM(M28:M28)</f>
        <v>9</v>
      </c>
      <c r="N29" s="574">
        <f>SUM(N28:N28)</f>
        <v>40.5</v>
      </c>
      <c r="O29" s="574">
        <f>SUM(O28:O28)</f>
        <v>57.857142857142861</v>
      </c>
      <c r="P29" s="574">
        <f>SUM(P28:P28)</f>
        <v>115.71428571428572</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9</v>
      </c>
      <c r="N31" s="574">
        <f ca="1">SUMIF($AA$28:AE28,"tertiair",N28:N28)</f>
        <v>40.5</v>
      </c>
      <c r="O31" s="574">
        <f ca="1">SUMIF($AA$28:AF28,"tertiair",O28:O28)</f>
        <v>57.857142857142861</v>
      </c>
      <c r="P31" s="574">
        <f ca="1">SUMIF($AA$28:AG28,"tertiair",P28:P28)</f>
        <v>115.71428571428572</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47.647058823529413</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68.067226890756316</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7998.5566512144278</v>
      </c>
      <c r="D10" s="931">
        <f ca="1">tertiair!C16</f>
        <v>57.857142857142861</v>
      </c>
      <c r="E10" s="931">
        <f ca="1">tertiair!D16</f>
        <v>10095.288672868272</v>
      </c>
      <c r="F10" s="931">
        <f>tertiair!E16</f>
        <v>91.763481221739383</v>
      </c>
      <c r="G10" s="931">
        <f ca="1">tertiair!F16</f>
        <v>1178.0440160679943</v>
      </c>
      <c r="H10" s="931">
        <f>tertiair!G16</f>
        <v>0</v>
      </c>
      <c r="I10" s="931">
        <f>tertiair!H16</f>
        <v>0</v>
      </c>
      <c r="J10" s="931">
        <f>tertiair!I16</f>
        <v>0</v>
      </c>
      <c r="K10" s="931">
        <f>tertiair!J16</f>
        <v>7.8678907619997782E-3</v>
      </c>
      <c r="L10" s="931">
        <f>tertiair!K16</f>
        <v>0</v>
      </c>
      <c r="M10" s="931">
        <f ca="1">tertiair!L16</f>
        <v>0</v>
      </c>
      <c r="N10" s="931">
        <f>tertiair!M16</f>
        <v>0</v>
      </c>
      <c r="O10" s="931">
        <f ca="1">tertiair!N16</f>
        <v>332.86954200879296</v>
      </c>
      <c r="P10" s="931">
        <f>tertiair!O16</f>
        <v>3.1266666666666669</v>
      </c>
      <c r="Q10" s="932">
        <f>tertiair!P16</f>
        <v>19.066666666666666</v>
      </c>
      <c r="R10" s="628">
        <f ca="1">SUM(C10:Q10)</f>
        <v>19776.580707462464</v>
      </c>
      <c r="S10" s="67"/>
    </row>
    <row r="11" spans="1:19" s="437" customFormat="1">
      <c r="A11" s="736" t="s">
        <v>213</v>
      </c>
      <c r="B11" s="741"/>
      <c r="C11" s="931">
        <f>huishoudens!B8</f>
        <v>24456.980494702766</v>
      </c>
      <c r="D11" s="931">
        <f>huishoudens!C8</f>
        <v>0</v>
      </c>
      <c r="E11" s="931">
        <f>huishoudens!D8</f>
        <v>37289.008819027142</v>
      </c>
      <c r="F11" s="931">
        <f>huishoudens!E8</f>
        <v>1691.9425515922085</v>
      </c>
      <c r="G11" s="931">
        <f>huishoudens!F8</f>
        <v>39217.911987191546</v>
      </c>
      <c r="H11" s="931">
        <f>huishoudens!G8</f>
        <v>0</v>
      </c>
      <c r="I11" s="931">
        <f>huishoudens!H8</f>
        <v>0</v>
      </c>
      <c r="J11" s="931">
        <f>huishoudens!I8</f>
        <v>0</v>
      </c>
      <c r="K11" s="931">
        <f>huishoudens!J8</f>
        <v>201.54552215320189</v>
      </c>
      <c r="L11" s="931">
        <f>huishoudens!K8</f>
        <v>0</v>
      </c>
      <c r="M11" s="931">
        <f>huishoudens!L8</f>
        <v>0</v>
      </c>
      <c r="N11" s="931">
        <f>huishoudens!M8</f>
        <v>0</v>
      </c>
      <c r="O11" s="931">
        <f>huishoudens!N8</f>
        <v>8122.0813079394466</v>
      </c>
      <c r="P11" s="931">
        <f>huishoudens!O8</f>
        <v>201.67000000000004</v>
      </c>
      <c r="Q11" s="932">
        <f>huishoudens!P8</f>
        <v>1315.6</v>
      </c>
      <c r="R11" s="628">
        <f>SUM(C11:Q11)</f>
        <v>112496.74068260631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1744.1389525969073</v>
      </c>
      <c r="D13" s="931">
        <f>industrie!C18</f>
        <v>0</v>
      </c>
      <c r="E13" s="931">
        <f>industrie!D18</f>
        <v>1613.7915086433431</v>
      </c>
      <c r="F13" s="931">
        <f>industrie!E18</f>
        <v>53.040246081500307</v>
      </c>
      <c r="G13" s="931">
        <f>industrie!F18</f>
        <v>478.4265444209434</v>
      </c>
      <c r="H13" s="931">
        <f>industrie!G18</f>
        <v>0</v>
      </c>
      <c r="I13" s="931">
        <f>industrie!H18</f>
        <v>0</v>
      </c>
      <c r="J13" s="931">
        <f>industrie!I18</f>
        <v>0</v>
      </c>
      <c r="K13" s="931">
        <f>industrie!J18</f>
        <v>3.2087608685923188</v>
      </c>
      <c r="L13" s="931">
        <f>industrie!K18</f>
        <v>0</v>
      </c>
      <c r="M13" s="931">
        <f>industrie!L18</f>
        <v>0</v>
      </c>
      <c r="N13" s="931">
        <f>industrie!M18</f>
        <v>0</v>
      </c>
      <c r="O13" s="931">
        <f>industrie!N18</f>
        <v>54.469744836886392</v>
      </c>
      <c r="P13" s="931">
        <f>industrie!O18</f>
        <v>0</v>
      </c>
      <c r="Q13" s="932">
        <f>industrie!P18</f>
        <v>0</v>
      </c>
      <c r="R13" s="628">
        <f>SUM(C13:Q13)</f>
        <v>3947.0757574481727</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34199.676098514101</v>
      </c>
      <c r="D16" s="660">
        <f t="shared" ref="D16:R16" ca="1" si="0">SUM(D9:D15)</f>
        <v>57.857142857142861</v>
      </c>
      <c r="E16" s="660">
        <f t="shared" ca="1" si="0"/>
        <v>48998.089000538755</v>
      </c>
      <c r="F16" s="660">
        <f t="shared" si="0"/>
        <v>1836.7462788954481</v>
      </c>
      <c r="G16" s="660">
        <f t="shared" ca="1" si="0"/>
        <v>40874.382547680485</v>
      </c>
      <c r="H16" s="660">
        <f t="shared" si="0"/>
        <v>0</v>
      </c>
      <c r="I16" s="660">
        <f t="shared" si="0"/>
        <v>0</v>
      </c>
      <c r="J16" s="660">
        <f t="shared" si="0"/>
        <v>0</v>
      </c>
      <c r="K16" s="660">
        <f t="shared" si="0"/>
        <v>204.76215091255619</v>
      </c>
      <c r="L16" s="660">
        <f t="shared" si="0"/>
        <v>0</v>
      </c>
      <c r="M16" s="660">
        <f t="shared" ca="1" si="0"/>
        <v>0</v>
      </c>
      <c r="N16" s="660">
        <f t="shared" si="0"/>
        <v>0</v>
      </c>
      <c r="O16" s="660">
        <f t="shared" ca="1" si="0"/>
        <v>8509.420594785126</v>
      </c>
      <c r="P16" s="660">
        <f t="shared" si="0"/>
        <v>204.79666666666671</v>
      </c>
      <c r="Q16" s="660">
        <f t="shared" si="0"/>
        <v>1334.6666666666665</v>
      </c>
      <c r="R16" s="660">
        <f t="shared" ca="1" si="0"/>
        <v>136220.39714751695</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14.414601034916595</v>
      </c>
      <c r="D19" s="931">
        <f>transport!C54</f>
        <v>0</v>
      </c>
      <c r="E19" s="931">
        <f>transport!D54</f>
        <v>0</v>
      </c>
      <c r="F19" s="931">
        <f>transport!E54</f>
        <v>0</v>
      </c>
      <c r="G19" s="931">
        <f>transport!F54</f>
        <v>0</v>
      </c>
      <c r="H19" s="931">
        <f>transport!G54</f>
        <v>1354.1087144326721</v>
      </c>
      <c r="I19" s="931">
        <f>transport!H54</f>
        <v>0</v>
      </c>
      <c r="J19" s="931">
        <f>transport!I54</f>
        <v>0</v>
      </c>
      <c r="K19" s="931">
        <f>transport!J54</f>
        <v>0</v>
      </c>
      <c r="L19" s="931">
        <f>transport!K54</f>
        <v>0</v>
      </c>
      <c r="M19" s="931">
        <f>transport!L54</f>
        <v>0</v>
      </c>
      <c r="N19" s="931">
        <f>transport!M54</f>
        <v>77.979055173693013</v>
      </c>
      <c r="O19" s="931">
        <f>transport!N54</f>
        <v>0</v>
      </c>
      <c r="P19" s="931">
        <f>transport!O54</f>
        <v>0</v>
      </c>
      <c r="Q19" s="932">
        <f>transport!P54</f>
        <v>0</v>
      </c>
      <c r="R19" s="628">
        <f>SUM(C19:Q19)</f>
        <v>1446.5023706412817</v>
      </c>
      <c r="S19" s="67"/>
    </row>
    <row r="20" spans="1:19" s="437" customFormat="1">
      <c r="A20" s="736" t="s">
        <v>295</v>
      </c>
      <c r="B20" s="741"/>
      <c r="C20" s="931">
        <f>transport!B14</f>
        <v>132.63501117097792</v>
      </c>
      <c r="D20" s="931">
        <f>transport!C14</f>
        <v>0</v>
      </c>
      <c r="E20" s="931">
        <f>transport!D14</f>
        <v>195.98105986356228</v>
      </c>
      <c r="F20" s="931">
        <f>transport!E14</f>
        <v>394.80453191374016</v>
      </c>
      <c r="G20" s="931">
        <f>transport!F14</f>
        <v>0</v>
      </c>
      <c r="H20" s="931">
        <f>transport!G14</f>
        <v>170270.68919863191</v>
      </c>
      <c r="I20" s="931">
        <f>transport!H14</f>
        <v>35011.022817091638</v>
      </c>
      <c r="J20" s="931">
        <f>transport!I14</f>
        <v>0</v>
      </c>
      <c r="K20" s="931">
        <f>transport!J14</f>
        <v>0</v>
      </c>
      <c r="L20" s="931">
        <f>transport!K14</f>
        <v>0</v>
      </c>
      <c r="M20" s="931">
        <f>transport!L14</f>
        <v>0</v>
      </c>
      <c r="N20" s="931">
        <f>transport!M14</f>
        <v>10978.87184825972</v>
      </c>
      <c r="O20" s="931">
        <f>transport!N14</f>
        <v>0</v>
      </c>
      <c r="P20" s="931">
        <f>transport!O14</f>
        <v>0</v>
      </c>
      <c r="Q20" s="932">
        <f>transport!P14</f>
        <v>0</v>
      </c>
      <c r="R20" s="628">
        <f>SUM(C20:Q20)</f>
        <v>216984.00446693157</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147.0496122058945</v>
      </c>
      <c r="D22" s="739">
        <f t="shared" ref="D22:R22" si="1">SUM(D18:D21)</f>
        <v>0</v>
      </c>
      <c r="E22" s="739">
        <f t="shared" si="1"/>
        <v>195.98105986356228</v>
      </c>
      <c r="F22" s="739">
        <f t="shared" si="1"/>
        <v>394.80453191374016</v>
      </c>
      <c r="G22" s="739">
        <f t="shared" si="1"/>
        <v>0</v>
      </c>
      <c r="H22" s="739">
        <f t="shared" si="1"/>
        <v>171624.79791306457</v>
      </c>
      <c r="I22" s="739">
        <f t="shared" si="1"/>
        <v>35011.022817091638</v>
      </c>
      <c r="J22" s="739">
        <f t="shared" si="1"/>
        <v>0</v>
      </c>
      <c r="K22" s="739">
        <f t="shared" si="1"/>
        <v>0</v>
      </c>
      <c r="L22" s="739">
        <f t="shared" si="1"/>
        <v>0</v>
      </c>
      <c r="M22" s="739">
        <f t="shared" si="1"/>
        <v>0</v>
      </c>
      <c r="N22" s="739">
        <f t="shared" si="1"/>
        <v>11056.850903433413</v>
      </c>
      <c r="O22" s="739">
        <f t="shared" si="1"/>
        <v>0</v>
      </c>
      <c r="P22" s="739">
        <f t="shared" si="1"/>
        <v>0</v>
      </c>
      <c r="Q22" s="739">
        <f t="shared" si="1"/>
        <v>0</v>
      </c>
      <c r="R22" s="739">
        <f t="shared" si="1"/>
        <v>218430.50683757284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176.57336178720459</v>
      </c>
      <c r="D24" s="931">
        <f>+landbouw!C8</f>
        <v>0</v>
      </c>
      <c r="E24" s="931">
        <f>+landbouw!D8</f>
        <v>52.831207417664544</v>
      </c>
      <c r="F24" s="931">
        <f>+landbouw!E8</f>
        <v>5.7303860333266572</v>
      </c>
      <c r="G24" s="931">
        <f>+landbouw!F8</f>
        <v>651.413395154309</v>
      </c>
      <c r="H24" s="931">
        <f>+landbouw!G8</f>
        <v>0</v>
      </c>
      <c r="I24" s="931">
        <f>+landbouw!H8</f>
        <v>0</v>
      </c>
      <c r="J24" s="931">
        <f>+landbouw!I8</f>
        <v>0</v>
      </c>
      <c r="K24" s="931">
        <f>+landbouw!J8</f>
        <v>46.43696861554173</v>
      </c>
      <c r="L24" s="931">
        <f>+landbouw!K8</f>
        <v>0</v>
      </c>
      <c r="M24" s="931">
        <f>+landbouw!L8</f>
        <v>0</v>
      </c>
      <c r="N24" s="931">
        <f>+landbouw!M8</f>
        <v>0</v>
      </c>
      <c r="O24" s="931">
        <f>+landbouw!N8</f>
        <v>0</v>
      </c>
      <c r="P24" s="931">
        <f>+landbouw!O8</f>
        <v>0</v>
      </c>
      <c r="Q24" s="932">
        <f>+landbouw!P8</f>
        <v>0</v>
      </c>
      <c r="R24" s="628">
        <f>SUM(C24:Q24)</f>
        <v>932.98531900804642</v>
      </c>
      <c r="S24" s="67"/>
    </row>
    <row r="25" spans="1:19" s="437" customFormat="1" ht="15" thickBot="1">
      <c r="A25" s="758" t="s">
        <v>775</v>
      </c>
      <c r="B25" s="934"/>
      <c r="C25" s="935">
        <f>IF(Onbekend_ele_kWh="---",0,Onbekend_ele_kWh)/1000+IF(REST_rest_ele_kWh="---",0,REST_rest_ele_kWh)/1000</f>
        <v>636.6154271032209</v>
      </c>
      <c r="D25" s="935"/>
      <c r="E25" s="935">
        <f>IF(onbekend_gas_kWh="---",0,onbekend_gas_kWh)/1000+IF(REST_rest_gas_kWh="---",0,REST_rest_gas_kWh)/1000</f>
        <v>944.20098810547699</v>
      </c>
      <c r="F25" s="935"/>
      <c r="G25" s="935"/>
      <c r="H25" s="935"/>
      <c r="I25" s="935"/>
      <c r="J25" s="935"/>
      <c r="K25" s="935"/>
      <c r="L25" s="935"/>
      <c r="M25" s="935"/>
      <c r="N25" s="935"/>
      <c r="O25" s="935"/>
      <c r="P25" s="935"/>
      <c r="Q25" s="936"/>
      <c r="R25" s="628">
        <f>SUM(C25:Q25)</f>
        <v>1580.8164152086979</v>
      </c>
      <c r="S25" s="67"/>
    </row>
    <row r="26" spans="1:19" s="437" customFormat="1" ht="15.75" thickBot="1">
      <c r="A26" s="633" t="s">
        <v>776</v>
      </c>
      <c r="B26" s="744"/>
      <c r="C26" s="739">
        <f>SUM(C24:C25)</f>
        <v>813.18878889042549</v>
      </c>
      <c r="D26" s="739">
        <f t="shared" ref="D26:R26" si="2">SUM(D24:D25)</f>
        <v>0</v>
      </c>
      <c r="E26" s="739">
        <f t="shared" si="2"/>
        <v>997.03219552314158</v>
      </c>
      <c r="F26" s="739">
        <f t="shared" si="2"/>
        <v>5.7303860333266572</v>
      </c>
      <c r="G26" s="739">
        <f t="shared" si="2"/>
        <v>651.413395154309</v>
      </c>
      <c r="H26" s="739">
        <f t="shared" si="2"/>
        <v>0</v>
      </c>
      <c r="I26" s="739">
        <f t="shared" si="2"/>
        <v>0</v>
      </c>
      <c r="J26" s="739">
        <f t="shared" si="2"/>
        <v>0</v>
      </c>
      <c r="K26" s="739">
        <f t="shared" si="2"/>
        <v>46.43696861554173</v>
      </c>
      <c r="L26" s="739">
        <f t="shared" si="2"/>
        <v>0</v>
      </c>
      <c r="M26" s="739">
        <f t="shared" si="2"/>
        <v>0</v>
      </c>
      <c r="N26" s="739">
        <f t="shared" si="2"/>
        <v>0</v>
      </c>
      <c r="O26" s="739">
        <f t="shared" si="2"/>
        <v>0</v>
      </c>
      <c r="P26" s="739">
        <f t="shared" si="2"/>
        <v>0</v>
      </c>
      <c r="Q26" s="739">
        <f t="shared" si="2"/>
        <v>0</v>
      </c>
      <c r="R26" s="739">
        <f t="shared" si="2"/>
        <v>2513.8017342167441</v>
      </c>
      <c r="S26" s="67"/>
    </row>
    <row r="27" spans="1:19" s="437" customFormat="1" ht="17.25" thickTop="1" thickBot="1">
      <c r="A27" s="634" t="s">
        <v>109</v>
      </c>
      <c r="B27" s="732"/>
      <c r="C27" s="635">
        <f ca="1">C22+C16+C26</f>
        <v>35159.914499610422</v>
      </c>
      <c r="D27" s="635">
        <f t="shared" ref="D27:R27" ca="1" si="3">D22+D16+D26</f>
        <v>57.857142857142861</v>
      </c>
      <c r="E27" s="635">
        <f t="shared" ca="1" si="3"/>
        <v>50191.102255925456</v>
      </c>
      <c r="F27" s="635">
        <f t="shared" si="3"/>
        <v>2237.2811968425149</v>
      </c>
      <c r="G27" s="635">
        <f t="shared" ca="1" si="3"/>
        <v>41525.795942834797</v>
      </c>
      <c r="H27" s="635">
        <f t="shared" si="3"/>
        <v>171624.79791306457</v>
      </c>
      <c r="I27" s="635">
        <f t="shared" si="3"/>
        <v>35011.022817091638</v>
      </c>
      <c r="J27" s="635">
        <f t="shared" si="3"/>
        <v>0</v>
      </c>
      <c r="K27" s="635">
        <f t="shared" si="3"/>
        <v>251.19911952809792</v>
      </c>
      <c r="L27" s="635">
        <f t="shared" si="3"/>
        <v>0</v>
      </c>
      <c r="M27" s="635">
        <f t="shared" ca="1" si="3"/>
        <v>0</v>
      </c>
      <c r="N27" s="635">
        <f t="shared" si="3"/>
        <v>11056.850903433413</v>
      </c>
      <c r="O27" s="635">
        <f t="shared" ca="1" si="3"/>
        <v>8509.420594785126</v>
      </c>
      <c r="P27" s="635">
        <f t="shared" si="3"/>
        <v>204.79666666666671</v>
      </c>
      <c r="Q27" s="635">
        <f t="shared" si="3"/>
        <v>1334.6666666666665</v>
      </c>
      <c r="R27" s="635">
        <f t="shared" ca="1" si="3"/>
        <v>357164.70571930654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1628.7821173189218</v>
      </c>
      <c r="D40" s="931">
        <f ca="1">tertiair!C20</f>
        <v>13.749579831932778</v>
      </c>
      <c r="E40" s="931">
        <f ca="1">tertiair!D20</f>
        <v>2039.248311919391</v>
      </c>
      <c r="F40" s="931">
        <f>tertiair!E20</f>
        <v>20.830310237334842</v>
      </c>
      <c r="G40" s="931">
        <f ca="1">tertiair!F20</f>
        <v>314.53775229015451</v>
      </c>
      <c r="H40" s="931">
        <f>tertiair!G20</f>
        <v>0</v>
      </c>
      <c r="I40" s="931">
        <f>tertiair!H20</f>
        <v>0</v>
      </c>
      <c r="J40" s="931">
        <f>tertiair!I20</f>
        <v>0</v>
      </c>
      <c r="K40" s="931">
        <f>tertiair!J20</f>
        <v>2.7852333297479215E-3</v>
      </c>
      <c r="L40" s="931">
        <f>tertiair!K20</f>
        <v>0</v>
      </c>
      <c r="M40" s="931">
        <f ca="1">tertiair!L20</f>
        <v>0</v>
      </c>
      <c r="N40" s="931">
        <f>tertiair!M20</f>
        <v>0</v>
      </c>
      <c r="O40" s="931">
        <f ca="1">tertiair!N20</f>
        <v>0</v>
      </c>
      <c r="P40" s="931">
        <f>tertiair!O20</f>
        <v>0</v>
      </c>
      <c r="Q40" s="702">
        <f>tertiair!P20</f>
        <v>0</v>
      </c>
      <c r="R40" s="777">
        <f t="shared" ca="1" si="4"/>
        <v>4017.1508568310646</v>
      </c>
    </row>
    <row r="41" spans="1:18">
      <c r="A41" s="749" t="s">
        <v>213</v>
      </c>
      <c r="B41" s="756"/>
      <c r="C41" s="931">
        <f ca="1">huishoudens!B12</f>
        <v>4980.2850952291928</v>
      </c>
      <c r="D41" s="931">
        <f ca="1">huishoudens!C12</f>
        <v>0</v>
      </c>
      <c r="E41" s="931">
        <f>huishoudens!D12</f>
        <v>7532.3797814434829</v>
      </c>
      <c r="F41" s="931">
        <f>huishoudens!E12</f>
        <v>384.07095921143133</v>
      </c>
      <c r="G41" s="931">
        <f>huishoudens!F12</f>
        <v>10471.182500580144</v>
      </c>
      <c r="H41" s="931">
        <f>huishoudens!G12</f>
        <v>0</v>
      </c>
      <c r="I41" s="931">
        <f>huishoudens!H12</f>
        <v>0</v>
      </c>
      <c r="J41" s="931">
        <f>huishoudens!I12</f>
        <v>0</v>
      </c>
      <c r="K41" s="931">
        <f>huishoudens!J12</f>
        <v>71.347114842233466</v>
      </c>
      <c r="L41" s="931">
        <f>huishoudens!K12</f>
        <v>0</v>
      </c>
      <c r="M41" s="931">
        <f>huishoudens!L12</f>
        <v>0</v>
      </c>
      <c r="N41" s="931">
        <f>huishoudens!M12</f>
        <v>0</v>
      </c>
      <c r="O41" s="931">
        <f>huishoudens!N12</f>
        <v>0</v>
      </c>
      <c r="P41" s="931">
        <f>huishoudens!O12</f>
        <v>0</v>
      </c>
      <c r="Q41" s="702">
        <f>huishoudens!P12</f>
        <v>0</v>
      </c>
      <c r="R41" s="777">
        <f t="shared" ca="1" si="4"/>
        <v>23439.265451306484</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355.16687072259128</v>
      </c>
      <c r="D43" s="931">
        <f ca="1">industrie!C22</f>
        <v>0</v>
      </c>
      <c r="E43" s="931">
        <f>industrie!D22</f>
        <v>325.98588474595533</v>
      </c>
      <c r="F43" s="931">
        <f>industrie!E22</f>
        <v>12.04013586050057</v>
      </c>
      <c r="G43" s="931">
        <f>industrie!F22</f>
        <v>127.73988736039189</v>
      </c>
      <c r="H43" s="931">
        <f>industrie!G22</f>
        <v>0</v>
      </c>
      <c r="I43" s="931">
        <f>industrie!H22</f>
        <v>0</v>
      </c>
      <c r="J43" s="931">
        <f>industrie!I22</f>
        <v>0</v>
      </c>
      <c r="K43" s="931">
        <f>industrie!J22</f>
        <v>1.1359013474816808</v>
      </c>
      <c r="L43" s="931">
        <f>industrie!K22</f>
        <v>0</v>
      </c>
      <c r="M43" s="931">
        <f>industrie!L22</f>
        <v>0</v>
      </c>
      <c r="N43" s="931">
        <f>industrie!M22</f>
        <v>0</v>
      </c>
      <c r="O43" s="931">
        <f>industrie!N22</f>
        <v>0</v>
      </c>
      <c r="P43" s="931">
        <f>industrie!O22</f>
        <v>0</v>
      </c>
      <c r="Q43" s="702">
        <f>industrie!P22</f>
        <v>0</v>
      </c>
      <c r="R43" s="776">
        <f t="shared" ca="1" si="4"/>
        <v>822.06868003692068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6964.234083270705</v>
      </c>
      <c r="D46" s="660">
        <f t="shared" ref="D46:Q46" ca="1" si="5">SUM(D39:D45)</f>
        <v>13.749579831932778</v>
      </c>
      <c r="E46" s="660">
        <f t="shared" ca="1" si="5"/>
        <v>9897.6139781088277</v>
      </c>
      <c r="F46" s="660">
        <f t="shared" si="5"/>
        <v>416.94140530926677</v>
      </c>
      <c r="G46" s="660">
        <f t="shared" ca="1" si="5"/>
        <v>10913.460140230691</v>
      </c>
      <c r="H46" s="660">
        <f t="shared" si="5"/>
        <v>0</v>
      </c>
      <c r="I46" s="660">
        <f t="shared" si="5"/>
        <v>0</v>
      </c>
      <c r="J46" s="660">
        <f t="shared" si="5"/>
        <v>0</v>
      </c>
      <c r="K46" s="660">
        <f t="shared" si="5"/>
        <v>72.48580142304489</v>
      </c>
      <c r="L46" s="660">
        <f t="shared" si="5"/>
        <v>0</v>
      </c>
      <c r="M46" s="660">
        <f t="shared" ca="1" si="5"/>
        <v>0</v>
      </c>
      <c r="N46" s="660">
        <f t="shared" si="5"/>
        <v>0</v>
      </c>
      <c r="O46" s="660">
        <f t="shared" ca="1" si="5"/>
        <v>0</v>
      </c>
      <c r="P46" s="660">
        <f t="shared" si="5"/>
        <v>0</v>
      </c>
      <c r="Q46" s="660">
        <f t="shared" si="5"/>
        <v>0</v>
      </c>
      <c r="R46" s="660">
        <f ca="1">SUM(R39:R45)</f>
        <v>28278.48498817447</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2.9353101337844811</v>
      </c>
      <c r="D49" s="931">
        <f ca="1">transport!C58</f>
        <v>0</v>
      </c>
      <c r="E49" s="931">
        <f>transport!D58</f>
        <v>0</v>
      </c>
      <c r="F49" s="931">
        <f>transport!E58</f>
        <v>0</v>
      </c>
      <c r="G49" s="931">
        <f>transport!F58</f>
        <v>0</v>
      </c>
      <c r="H49" s="931">
        <f>transport!G58</f>
        <v>361.54702675352348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364.48233688730795</v>
      </c>
    </row>
    <row r="50" spans="1:18">
      <c r="A50" s="752" t="s">
        <v>295</v>
      </c>
      <c r="B50" s="762"/>
      <c r="C50" s="631">
        <f ca="1">transport!B18</f>
        <v>27.009064728307411</v>
      </c>
      <c r="D50" s="631">
        <f>transport!C18</f>
        <v>0</v>
      </c>
      <c r="E50" s="631">
        <f>transport!D18</f>
        <v>39.58817409243958</v>
      </c>
      <c r="F50" s="631">
        <f>transport!E18</f>
        <v>89.620628744419022</v>
      </c>
      <c r="G50" s="631">
        <f>transport!F18</f>
        <v>0</v>
      </c>
      <c r="H50" s="631">
        <f>transport!G18</f>
        <v>45462.274016034724</v>
      </c>
      <c r="I50" s="631">
        <f>transport!H18</f>
        <v>8717.744681455817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54336.236565055704</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29.944374862091891</v>
      </c>
      <c r="D52" s="660">
        <f t="shared" ref="D52:Q52" ca="1" si="6">SUM(D48:D51)</f>
        <v>0</v>
      </c>
      <c r="E52" s="660">
        <f t="shared" si="6"/>
        <v>39.58817409243958</v>
      </c>
      <c r="F52" s="660">
        <f t="shared" si="6"/>
        <v>89.620628744419022</v>
      </c>
      <c r="G52" s="660">
        <f t="shared" si="6"/>
        <v>0</v>
      </c>
      <c r="H52" s="660">
        <f t="shared" si="6"/>
        <v>45823.821042788244</v>
      </c>
      <c r="I52" s="660">
        <f t="shared" si="6"/>
        <v>8717.744681455817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54700.718901943015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35.9564289677459</v>
      </c>
      <c r="D54" s="631">
        <f ca="1">+landbouw!C12</f>
        <v>0</v>
      </c>
      <c r="E54" s="631">
        <f>+landbouw!D12</f>
        <v>10.671903898368239</v>
      </c>
      <c r="F54" s="631">
        <f>+landbouw!E12</f>
        <v>1.3007976295651513</v>
      </c>
      <c r="G54" s="631">
        <f>+landbouw!F12</f>
        <v>173.92737650620052</v>
      </c>
      <c r="H54" s="631">
        <f>+landbouw!G12</f>
        <v>0</v>
      </c>
      <c r="I54" s="631">
        <f>+landbouw!H12</f>
        <v>0</v>
      </c>
      <c r="J54" s="631">
        <f>+landbouw!I12</f>
        <v>0</v>
      </c>
      <c r="K54" s="631">
        <f>+landbouw!J12</f>
        <v>16.438686889901771</v>
      </c>
      <c r="L54" s="631">
        <f>+landbouw!K12</f>
        <v>0</v>
      </c>
      <c r="M54" s="631">
        <f>+landbouw!L12</f>
        <v>0</v>
      </c>
      <c r="N54" s="631">
        <f>+landbouw!M12</f>
        <v>0</v>
      </c>
      <c r="O54" s="631">
        <f>+landbouw!N12</f>
        <v>0</v>
      </c>
      <c r="P54" s="631">
        <f>+landbouw!O12</f>
        <v>0</v>
      </c>
      <c r="Q54" s="632">
        <f>+landbouw!P12</f>
        <v>0</v>
      </c>
      <c r="R54" s="659">
        <f ca="1">SUM(C54:Q54)</f>
        <v>238.29519389178157</v>
      </c>
    </row>
    <row r="55" spans="1:18" ht="15" thickBot="1">
      <c r="A55" s="752" t="s">
        <v>775</v>
      </c>
      <c r="B55" s="762"/>
      <c r="C55" s="631">
        <f ca="1">C25*'EF ele_warmte'!B12</f>
        <v>129.63686681116889</v>
      </c>
      <c r="D55" s="631"/>
      <c r="E55" s="631">
        <f>E25*EF_CO2_aardgas</f>
        <v>190.72859959730636</v>
      </c>
      <c r="F55" s="631"/>
      <c r="G55" s="631"/>
      <c r="H55" s="631"/>
      <c r="I55" s="631"/>
      <c r="J55" s="631"/>
      <c r="K55" s="631"/>
      <c r="L55" s="631"/>
      <c r="M55" s="631"/>
      <c r="N55" s="631"/>
      <c r="O55" s="631"/>
      <c r="P55" s="631"/>
      <c r="Q55" s="632"/>
      <c r="R55" s="659">
        <f ca="1">SUM(C55:Q55)</f>
        <v>320.36546640847524</v>
      </c>
    </row>
    <row r="56" spans="1:18" ht="15.75" thickBot="1">
      <c r="A56" s="750" t="s">
        <v>776</v>
      </c>
      <c r="B56" s="763"/>
      <c r="C56" s="660">
        <f ca="1">SUM(C54:C55)</f>
        <v>165.59329577891478</v>
      </c>
      <c r="D56" s="660">
        <f t="shared" ref="D56:Q56" ca="1" si="7">SUM(D54:D55)</f>
        <v>0</v>
      </c>
      <c r="E56" s="660">
        <f t="shared" si="7"/>
        <v>201.4005034956746</v>
      </c>
      <c r="F56" s="660">
        <f t="shared" si="7"/>
        <v>1.3007976295651513</v>
      </c>
      <c r="G56" s="660">
        <f t="shared" si="7"/>
        <v>173.92737650620052</v>
      </c>
      <c r="H56" s="660">
        <f t="shared" si="7"/>
        <v>0</v>
      </c>
      <c r="I56" s="660">
        <f t="shared" si="7"/>
        <v>0</v>
      </c>
      <c r="J56" s="660">
        <f t="shared" si="7"/>
        <v>0</v>
      </c>
      <c r="K56" s="660">
        <f t="shared" si="7"/>
        <v>16.438686889901771</v>
      </c>
      <c r="L56" s="660">
        <f t="shared" si="7"/>
        <v>0</v>
      </c>
      <c r="M56" s="660">
        <f t="shared" si="7"/>
        <v>0</v>
      </c>
      <c r="N56" s="660">
        <f t="shared" si="7"/>
        <v>0</v>
      </c>
      <c r="O56" s="660">
        <f t="shared" si="7"/>
        <v>0</v>
      </c>
      <c r="P56" s="660">
        <f t="shared" si="7"/>
        <v>0</v>
      </c>
      <c r="Q56" s="661">
        <f t="shared" si="7"/>
        <v>0</v>
      </c>
      <c r="R56" s="662">
        <f ca="1">SUM(R54:R55)</f>
        <v>558.66066030025684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7159.7717539117111</v>
      </c>
      <c r="D61" s="668">
        <f t="shared" ref="D61:Q61" ca="1" si="8">D46+D52+D56</f>
        <v>13.749579831932778</v>
      </c>
      <c r="E61" s="668">
        <f t="shared" ca="1" si="8"/>
        <v>10138.602655696943</v>
      </c>
      <c r="F61" s="668">
        <f t="shared" si="8"/>
        <v>507.86283168325093</v>
      </c>
      <c r="G61" s="668">
        <f t="shared" ca="1" si="8"/>
        <v>11087.387516736891</v>
      </c>
      <c r="H61" s="668">
        <f t="shared" si="8"/>
        <v>45823.821042788244</v>
      </c>
      <c r="I61" s="668">
        <f t="shared" si="8"/>
        <v>8717.744681455817</v>
      </c>
      <c r="J61" s="668">
        <f t="shared" si="8"/>
        <v>0</v>
      </c>
      <c r="K61" s="668">
        <f t="shared" si="8"/>
        <v>88.924488312946664</v>
      </c>
      <c r="L61" s="668">
        <f t="shared" si="8"/>
        <v>0</v>
      </c>
      <c r="M61" s="668">
        <f t="shared" ca="1" si="8"/>
        <v>0</v>
      </c>
      <c r="N61" s="668">
        <f t="shared" si="8"/>
        <v>0</v>
      </c>
      <c r="O61" s="668">
        <f t="shared" ca="1" si="8"/>
        <v>0</v>
      </c>
      <c r="P61" s="668">
        <f t="shared" si="8"/>
        <v>0</v>
      </c>
      <c r="Q61" s="668">
        <f t="shared" si="8"/>
        <v>0</v>
      </c>
      <c r="R61" s="668">
        <f ca="1">R46+R52+R56</f>
        <v>83537.86455041774</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0.20363450411664233</v>
      </c>
      <c r="D63" s="709">
        <f t="shared" ca="1" si="9"/>
        <v>0.23764705882352946</v>
      </c>
      <c r="E63" s="942">
        <f t="shared" ca="1" si="9"/>
        <v>0.20200000000000001</v>
      </c>
      <c r="F63" s="709">
        <f t="shared" si="9"/>
        <v>0.22700000000000004</v>
      </c>
      <c r="G63" s="709">
        <f t="shared" ca="1" si="9"/>
        <v>0.26700000000000002</v>
      </c>
      <c r="H63" s="709">
        <f t="shared" si="9"/>
        <v>0.26700000000000002</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2765.807947441373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40.5</v>
      </c>
      <c r="D76" s="952">
        <f>'lokale energieproductie'!C8</f>
        <v>47.647058823529413</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9.6247058823529414</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2765.807947441373</v>
      </c>
      <c r="C78" s="683">
        <f>SUM(C72:C77)</f>
        <v>40.5</v>
      </c>
      <c r="D78" s="684">
        <f t="shared" ref="D78:H78" si="10">SUM(D76:D77)</f>
        <v>47.647058823529413</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9.6247058823529414</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57.857142857142861</v>
      </c>
      <c r="D87" s="705">
        <f>'lokale energieproductie'!C17</f>
        <v>68.067226890756316</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13.749579831932778</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57.857142857142861</v>
      </c>
      <c r="D90" s="683">
        <f t="shared" ref="D90:H90" si="12">SUM(D87:D89)</f>
        <v>68.067226890756316</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13.749579831932778</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24456.980494702766</v>
      </c>
      <c r="C4" s="441">
        <f>huishoudens!C8</f>
        <v>0</v>
      </c>
      <c r="D4" s="441">
        <f>huishoudens!D8</f>
        <v>37289.008819027142</v>
      </c>
      <c r="E4" s="441">
        <f>huishoudens!E8</f>
        <v>1691.9425515922085</v>
      </c>
      <c r="F4" s="441">
        <f>huishoudens!F8</f>
        <v>39217.911987191546</v>
      </c>
      <c r="G4" s="441">
        <f>huishoudens!G8</f>
        <v>0</v>
      </c>
      <c r="H4" s="441">
        <f>huishoudens!H8</f>
        <v>0</v>
      </c>
      <c r="I4" s="441">
        <f>huishoudens!I8</f>
        <v>0</v>
      </c>
      <c r="J4" s="441">
        <f>huishoudens!J8</f>
        <v>201.54552215320189</v>
      </c>
      <c r="K4" s="441">
        <f>huishoudens!K8</f>
        <v>0</v>
      </c>
      <c r="L4" s="441">
        <f>huishoudens!L8</f>
        <v>0</v>
      </c>
      <c r="M4" s="441">
        <f>huishoudens!M8</f>
        <v>0</v>
      </c>
      <c r="N4" s="441">
        <f>huishoudens!N8</f>
        <v>8122.0813079394466</v>
      </c>
      <c r="O4" s="441">
        <f>huishoudens!O8</f>
        <v>201.67000000000004</v>
      </c>
      <c r="P4" s="442">
        <f>huishoudens!P8</f>
        <v>1315.6</v>
      </c>
      <c r="Q4" s="443">
        <f>SUM(B4:P4)</f>
        <v>112496.74068260631</v>
      </c>
    </row>
    <row r="5" spans="1:17">
      <c r="A5" s="440" t="s">
        <v>149</v>
      </c>
      <c r="B5" s="441">
        <f ca="1">tertiair!B16</f>
        <v>7153.2476512144276</v>
      </c>
      <c r="C5" s="441">
        <f ca="1">tertiair!C16</f>
        <v>57.857142857142861</v>
      </c>
      <c r="D5" s="441">
        <f ca="1">tertiair!D16</f>
        <v>10095.288672868272</v>
      </c>
      <c r="E5" s="441">
        <f>tertiair!E16</f>
        <v>91.763481221739383</v>
      </c>
      <c r="F5" s="441">
        <f ca="1">tertiair!F16</f>
        <v>1178.0440160679943</v>
      </c>
      <c r="G5" s="441">
        <f>tertiair!G16</f>
        <v>0</v>
      </c>
      <c r="H5" s="441">
        <f>tertiair!H16</f>
        <v>0</v>
      </c>
      <c r="I5" s="441">
        <f>tertiair!I16</f>
        <v>0</v>
      </c>
      <c r="J5" s="441">
        <f>tertiair!J16</f>
        <v>7.8678907619997782E-3</v>
      </c>
      <c r="K5" s="441">
        <f>tertiair!K16</f>
        <v>0</v>
      </c>
      <c r="L5" s="441">
        <f ca="1">tertiair!L16</f>
        <v>0</v>
      </c>
      <c r="M5" s="441">
        <f>tertiair!M16</f>
        <v>0</v>
      </c>
      <c r="N5" s="441">
        <f ca="1">tertiair!N16</f>
        <v>332.86954200879296</v>
      </c>
      <c r="O5" s="441">
        <f>tertiair!O16</f>
        <v>3.1266666666666669</v>
      </c>
      <c r="P5" s="442">
        <f>tertiair!P16</f>
        <v>19.066666666666666</v>
      </c>
      <c r="Q5" s="440">
        <f t="shared" ref="Q5:Q14" ca="1" si="0">SUM(B5:P5)</f>
        <v>18931.271707462467</v>
      </c>
    </row>
    <row r="6" spans="1:17">
      <c r="A6" s="440" t="s">
        <v>187</v>
      </c>
      <c r="B6" s="441">
        <f>'openbare verlichting'!B8</f>
        <v>845.30899999999997</v>
      </c>
      <c r="C6" s="441"/>
      <c r="D6" s="441"/>
      <c r="E6" s="441"/>
      <c r="F6" s="441"/>
      <c r="G6" s="441"/>
      <c r="H6" s="441"/>
      <c r="I6" s="441"/>
      <c r="J6" s="441"/>
      <c r="K6" s="441"/>
      <c r="L6" s="441"/>
      <c r="M6" s="441"/>
      <c r="N6" s="441"/>
      <c r="O6" s="441"/>
      <c r="P6" s="442"/>
      <c r="Q6" s="440">
        <f t="shared" si="0"/>
        <v>845.30899999999997</v>
      </c>
    </row>
    <row r="7" spans="1:17">
      <c r="A7" s="440" t="s">
        <v>105</v>
      </c>
      <c r="B7" s="441">
        <f>landbouw!B8</f>
        <v>176.57336178720459</v>
      </c>
      <c r="C7" s="441">
        <f>landbouw!C8</f>
        <v>0</v>
      </c>
      <c r="D7" s="441">
        <f>landbouw!D8</f>
        <v>52.831207417664544</v>
      </c>
      <c r="E7" s="441">
        <f>landbouw!E8</f>
        <v>5.7303860333266572</v>
      </c>
      <c r="F7" s="441">
        <f>landbouw!F8</f>
        <v>651.413395154309</v>
      </c>
      <c r="G7" s="441">
        <f>landbouw!G8</f>
        <v>0</v>
      </c>
      <c r="H7" s="441">
        <f>landbouw!H8</f>
        <v>0</v>
      </c>
      <c r="I7" s="441">
        <f>landbouw!I8</f>
        <v>0</v>
      </c>
      <c r="J7" s="441">
        <f>landbouw!J8</f>
        <v>46.43696861554173</v>
      </c>
      <c r="K7" s="441">
        <f>landbouw!K8</f>
        <v>0</v>
      </c>
      <c r="L7" s="441">
        <f>landbouw!L8</f>
        <v>0</v>
      </c>
      <c r="M7" s="441">
        <f>landbouw!M8</f>
        <v>0</v>
      </c>
      <c r="N7" s="441">
        <f>landbouw!N8</f>
        <v>0</v>
      </c>
      <c r="O7" s="441">
        <f>landbouw!O8</f>
        <v>0</v>
      </c>
      <c r="P7" s="442">
        <f>landbouw!P8</f>
        <v>0</v>
      </c>
      <c r="Q7" s="440">
        <f t="shared" si="0"/>
        <v>932.98531900804642</v>
      </c>
    </row>
    <row r="8" spans="1:17">
      <c r="A8" s="440" t="s">
        <v>596</v>
      </c>
      <c r="B8" s="441">
        <f>industrie!B18</f>
        <v>1744.1389525969073</v>
      </c>
      <c r="C8" s="441">
        <f>industrie!C18</f>
        <v>0</v>
      </c>
      <c r="D8" s="441">
        <f>industrie!D18</f>
        <v>1613.7915086433431</v>
      </c>
      <c r="E8" s="441">
        <f>industrie!E18</f>
        <v>53.040246081500307</v>
      </c>
      <c r="F8" s="441">
        <f>industrie!F18</f>
        <v>478.4265444209434</v>
      </c>
      <c r="G8" s="441">
        <f>industrie!G18</f>
        <v>0</v>
      </c>
      <c r="H8" s="441">
        <f>industrie!H18</f>
        <v>0</v>
      </c>
      <c r="I8" s="441">
        <f>industrie!I18</f>
        <v>0</v>
      </c>
      <c r="J8" s="441">
        <f>industrie!J18</f>
        <v>3.2087608685923188</v>
      </c>
      <c r="K8" s="441">
        <f>industrie!K18</f>
        <v>0</v>
      </c>
      <c r="L8" s="441">
        <f>industrie!L18</f>
        <v>0</v>
      </c>
      <c r="M8" s="441">
        <f>industrie!M18</f>
        <v>0</v>
      </c>
      <c r="N8" s="441">
        <f>industrie!N18</f>
        <v>54.469744836886392</v>
      </c>
      <c r="O8" s="441">
        <f>industrie!O18</f>
        <v>0</v>
      </c>
      <c r="P8" s="442">
        <f>industrie!P18</f>
        <v>0</v>
      </c>
      <c r="Q8" s="440">
        <f t="shared" si="0"/>
        <v>3947.0757574481727</v>
      </c>
    </row>
    <row r="9" spans="1:17" s="446" customFormat="1">
      <c r="A9" s="444" t="s">
        <v>545</v>
      </c>
      <c r="B9" s="445">
        <f>transport!B14</f>
        <v>132.63501117097792</v>
      </c>
      <c r="C9" s="445">
        <f>transport!C14</f>
        <v>0</v>
      </c>
      <c r="D9" s="445">
        <f>transport!D14</f>
        <v>195.98105986356228</v>
      </c>
      <c r="E9" s="445">
        <f>transport!E14</f>
        <v>394.80453191374016</v>
      </c>
      <c r="F9" s="445">
        <f>transport!F14</f>
        <v>0</v>
      </c>
      <c r="G9" s="445">
        <f>transport!G14</f>
        <v>170270.68919863191</v>
      </c>
      <c r="H9" s="445">
        <f>transport!H14</f>
        <v>35011.022817091638</v>
      </c>
      <c r="I9" s="445">
        <f>transport!I14</f>
        <v>0</v>
      </c>
      <c r="J9" s="445">
        <f>transport!J14</f>
        <v>0</v>
      </c>
      <c r="K9" s="445">
        <f>transport!K14</f>
        <v>0</v>
      </c>
      <c r="L9" s="445">
        <f>transport!L14</f>
        <v>0</v>
      </c>
      <c r="M9" s="445">
        <f>transport!M14</f>
        <v>10978.87184825972</v>
      </c>
      <c r="N9" s="445">
        <f>transport!N14</f>
        <v>0</v>
      </c>
      <c r="O9" s="445">
        <f>transport!O14</f>
        <v>0</v>
      </c>
      <c r="P9" s="445">
        <f>transport!P14</f>
        <v>0</v>
      </c>
      <c r="Q9" s="444">
        <f>SUM(B9:P9)</f>
        <v>216984.00446693157</v>
      </c>
    </row>
    <row r="10" spans="1:17">
      <c r="A10" s="440" t="s">
        <v>535</v>
      </c>
      <c r="B10" s="441">
        <f>transport!B54</f>
        <v>14.414601034916595</v>
      </c>
      <c r="C10" s="441">
        <f>transport!C54</f>
        <v>0</v>
      </c>
      <c r="D10" s="441">
        <f>transport!D54</f>
        <v>0</v>
      </c>
      <c r="E10" s="441">
        <f>transport!E54</f>
        <v>0</v>
      </c>
      <c r="F10" s="441">
        <f>transport!F54</f>
        <v>0</v>
      </c>
      <c r="G10" s="441">
        <f>transport!G54</f>
        <v>1354.1087144326721</v>
      </c>
      <c r="H10" s="441">
        <f>transport!H54</f>
        <v>0</v>
      </c>
      <c r="I10" s="441">
        <f>transport!I54</f>
        <v>0</v>
      </c>
      <c r="J10" s="441">
        <f>transport!J54</f>
        <v>0</v>
      </c>
      <c r="K10" s="441">
        <f>transport!K54</f>
        <v>0</v>
      </c>
      <c r="L10" s="441">
        <f>transport!L54</f>
        <v>0</v>
      </c>
      <c r="M10" s="441">
        <f>transport!M54</f>
        <v>77.979055173693013</v>
      </c>
      <c r="N10" s="441">
        <f>transport!N54</f>
        <v>0</v>
      </c>
      <c r="O10" s="441">
        <f>transport!O54</f>
        <v>0</v>
      </c>
      <c r="P10" s="442">
        <f>transport!P54</f>
        <v>0</v>
      </c>
      <c r="Q10" s="440">
        <f t="shared" si="0"/>
        <v>1446.5023706412817</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636.6154271032209</v>
      </c>
      <c r="C14" s="448"/>
      <c r="D14" s="448">
        <f>'SEAP template'!E25</f>
        <v>944.20098810547699</v>
      </c>
      <c r="E14" s="448"/>
      <c r="F14" s="448"/>
      <c r="G14" s="448"/>
      <c r="H14" s="448"/>
      <c r="I14" s="448"/>
      <c r="J14" s="448"/>
      <c r="K14" s="448"/>
      <c r="L14" s="448"/>
      <c r="M14" s="448"/>
      <c r="N14" s="448"/>
      <c r="O14" s="448"/>
      <c r="P14" s="449"/>
      <c r="Q14" s="440">
        <f t="shared" si="0"/>
        <v>1580.8164152086979</v>
      </c>
    </row>
    <row r="15" spans="1:17" s="450" customFormat="1">
      <c r="A15" s="957" t="s">
        <v>539</v>
      </c>
      <c r="B15" s="905">
        <f ca="1">SUM(B4:B14)</f>
        <v>35159.914499610415</v>
      </c>
      <c r="C15" s="905">
        <f t="shared" ref="C15:Q15" ca="1" si="1">SUM(C4:C14)</f>
        <v>57.857142857142861</v>
      </c>
      <c r="D15" s="905">
        <f t="shared" ca="1" si="1"/>
        <v>50191.102255925456</v>
      </c>
      <c r="E15" s="905">
        <f t="shared" si="1"/>
        <v>2237.2811968425149</v>
      </c>
      <c r="F15" s="905">
        <f t="shared" ca="1" si="1"/>
        <v>41525.795942834797</v>
      </c>
      <c r="G15" s="905">
        <f t="shared" si="1"/>
        <v>171624.79791306457</v>
      </c>
      <c r="H15" s="905">
        <f t="shared" si="1"/>
        <v>35011.022817091638</v>
      </c>
      <c r="I15" s="905">
        <f t="shared" si="1"/>
        <v>0</v>
      </c>
      <c r="J15" s="905">
        <f t="shared" si="1"/>
        <v>251.19911952809792</v>
      </c>
      <c r="K15" s="905">
        <f t="shared" si="1"/>
        <v>0</v>
      </c>
      <c r="L15" s="905">
        <f t="shared" ca="1" si="1"/>
        <v>0</v>
      </c>
      <c r="M15" s="905">
        <f t="shared" si="1"/>
        <v>11056.850903433413</v>
      </c>
      <c r="N15" s="905">
        <f t="shared" ca="1" si="1"/>
        <v>8509.420594785126</v>
      </c>
      <c r="O15" s="905">
        <f t="shared" si="1"/>
        <v>204.79666666666671</v>
      </c>
      <c r="P15" s="905">
        <f t="shared" si="1"/>
        <v>1334.6666666666665</v>
      </c>
      <c r="Q15" s="905">
        <f t="shared" ca="1" si="1"/>
        <v>357164.70571930654</v>
      </c>
    </row>
    <row r="17" spans="1:17">
      <c r="A17" s="451" t="s">
        <v>540</v>
      </c>
      <c r="B17" s="714">
        <f ca="1">huishoudens!B10</f>
        <v>0.20363450411664238</v>
      </c>
      <c r="C17" s="714">
        <f ca="1">huishoudens!C10</f>
        <v>0.23764705882352946</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4980.2850952291928</v>
      </c>
      <c r="C22" s="441">
        <f t="shared" ref="C22:C32" ca="1" si="3">C4*$C$17</f>
        <v>0</v>
      </c>
      <c r="D22" s="441">
        <f t="shared" ref="D22:D32" si="4">D4*$D$17</f>
        <v>7532.3797814434829</v>
      </c>
      <c r="E22" s="441">
        <f t="shared" ref="E22:E32" si="5">E4*$E$17</f>
        <v>384.07095921143133</v>
      </c>
      <c r="F22" s="441">
        <f t="shared" ref="F22:F32" si="6">F4*$F$17</f>
        <v>10471.182500580144</v>
      </c>
      <c r="G22" s="441">
        <f t="shared" ref="G22:G32" si="7">G4*$G$17</f>
        <v>0</v>
      </c>
      <c r="H22" s="441">
        <f t="shared" ref="H22:H32" si="8">H4*$H$17</f>
        <v>0</v>
      </c>
      <c r="I22" s="441">
        <f t="shared" ref="I22:I32" si="9">I4*$I$17</f>
        <v>0</v>
      </c>
      <c r="J22" s="441">
        <f t="shared" ref="J22:J32" si="10">J4*$J$17</f>
        <v>71.347114842233466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23439.265451306484</v>
      </c>
    </row>
    <row r="23" spans="1:17">
      <c r="A23" s="440" t="s">
        <v>149</v>
      </c>
      <c r="B23" s="441">
        <f t="shared" ca="1" si="2"/>
        <v>1456.6480382785869</v>
      </c>
      <c r="C23" s="441">
        <f t="shared" ca="1" si="3"/>
        <v>13.749579831932778</v>
      </c>
      <c r="D23" s="441">
        <f t="shared" ca="1" si="4"/>
        <v>2039.248311919391</v>
      </c>
      <c r="E23" s="441">
        <f t="shared" si="5"/>
        <v>20.830310237334842</v>
      </c>
      <c r="F23" s="441">
        <f t="shared" ca="1" si="6"/>
        <v>314.53775229015451</v>
      </c>
      <c r="G23" s="441">
        <f t="shared" si="7"/>
        <v>0</v>
      </c>
      <c r="H23" s="441">
        <f t="shared" si="8"/>
        <v>0</v>
      </c>
      <c r="I23" s="441">
        <f t="shared" si="9"/>
        <v>0</v>
      </c>
      <c r="J23" s="441">
        <f t="shared" si="10"/>
        <v>2.7852333297479215E-3</v>
      </c>
      <c r="K23" s="441">
        <f t="shared" si="11"/>
        <v>0</v>
      </c>
      <c r="L23" s="441">
        <f t="shared" ca="1" si="12"/>
        <v>0</v>
      </c>
      <c r="M23" s="441">
        <f t="shared" si="13"/>
        <v>0</v>
      </c>
      <c r="N23" s="441">
        <f t="shared" ca="1" si="14"/>
        <v>0</v>
      </c>
      <c r="O23" s="441">
        <f t="shared" si="15"/>
        <v>0</v>
      </c>
      <c r="P23" s="442">
        <f t="shared" si="16"/>
        <v>0</v>
      </c>
      <c r="Q23" s="440">
        <f t="shared" ref="Q23:Q32" ca="1" si="17">SUM(B23:P23)</f>
        <v>3845.0167777907295</v>
      </c>
    </row>
    <row r="24" spans="1:17">
      <c r="A24" s="440" t="s">
        <v>187</v>
      </c>
      <c r="B24" s="441">
        <f t="shared" ca="1" si="2"/>
        <v>172.13407904033485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172.13407904033485</v>
      </c>
    </row>
    <row r="25" spans="1:17">
      <c r="A25" s="440" t="s">
        <v>105</v>
      </c>
      <c r="B25" s="441">
        <f t="shared" ca="1" si="2"/>
        <v>35.9564289677459</v>
      </c>
      <c r="C25" s="441">
        <f t="shared" ca="1" si="3"/>
        <v>0</v>
      </c>
      <c r="D25" s="441">
        <f t="shared" si="4"/>
        <v>10.671903898368239</v>
      </c>
      <c r="E25" s="441">
        <f t="shared" si="5"/>
        <v>1.3007976295651513</v>
      </c>
      <c r="F25" s="441">
        <f t="shared" si="6"/>
        <v>173.92737650620052</v>
      </c>
      <c r="G25" s="441">
        <f t="shared" si="7"/>
        <v>0</v>
      </c>
      <c r="H25" s="441">
        <f t="shared" si="8"/>
        <v>0</v>
      </c>
      <c r="I25" s="441">
        <f t="shared" si="9"/>
        <v>0</v>
      </c>
      <c r="J25" s="441">
        <f t="shared" si="10"/>
        <v>16.438686889901771</v>
      </c>
      <c r="K25" s="441">
        <f t="shared" si="11"/>
        <v>0</v>
      </c>
      <c r="L25" s="441">
        <f t="shared" si="12"/>
        <v>0</v>
      </c>
      <c r="M25" s="441">
        <f t="shared" si="13"/>
        <v>0</v>
      </c>
      <c r="N25" s="441">
        <f t="shared" si="14"/>
        <v>0</v>
      </c>
      <c r="O25" s="441">
        <f t="shared" si="15"/>
        <v>0</v>
      </c>
      <c r="P25" s="442">
        <f t="shared" si="16"/>
        <v>0</v>
      </c>
      <c r="Q25" s="440">
        <f t="shared" ca="1" si="17"/>
        <v>238.29519389178157</v>
      </c>
    </row>
    <row r="26" spans="1:17">
      <c r="A26" s="440" t="s">
        <v>596</v>
      </c>
      <c r="B26" s="441">
        <f t="shared" ca="1" si="2"/>
        <v>355.16687072259128</v>
      </c>
      <c r="C26" s="441">
        <f t="shared" ca="1" si="3"/>
        <v>0</v>
      </c>
      <c r="D26" s="441">
        <f t="shared" si="4"/>
        <v>325.98588474595533</v>
      </c>
      <c r="E26" s="441">
        <f t="shared" si="5"/>
        <v>12.04013586050057</v>
      </c>
      <c r="F26" s="441">
        <f t="shared" si="6"/>
        <v>127.73988736039189</v>
      </c>
      <c r="G26" s="441">
        <f t="shared" si="7"/>
        <v>0</v>
      </c>
      <c r="H26" s="441">
        <f t="shared" si="8"/>
        <v>0</v>
      </c>
      <c r="I26" s="441">
        <f t="shared" si="9"/>
        <v>0</v>
      </c>
      <c r="J26" s="441">
        <f t="shared" si="10"/>
        <v>1.1359013474816808</v>
      </c>
      <c r="K26" s="441">
        <f t="shared" si="11"/>
        <v>0</v>
      </c>
      <c r="L26" s="441">
        <f t="shared" si="12"/>
        <v>0</v>
      </c>
      <c r="M26" s="441">
        <f t="shared" si="13"/>
        <v>0</v>
      </c>
      <c r="N26" s="441">
        <f t="shared" si="14"/>
        <v>0</v>
      </c>
      <c r="O26" s="441">
        <f t="shared" si="15"/>
        <v>0</v>
      </c>
      <c r="P26" s="442">
        <f t="shared" si="16"/>
        <v>0</v>
      </c>
      <c r="Q26" s="440">
        <f t="shared" ca="1" si="17"/>
        <v>822.06868003692068</v>
      </c>
    </row>
    <row r="27" spans="1:17" s="446" customFormat="1">
      <c r="A27" s="444" t="s">
        <v>545</v>
      </c>
      <c r="B27" s="708">
        <f t="shared" ca="1" si="2"/>
        <v>27.009064728307411</v>
      </c>
      <c r="C27" s="445">
        <f t="shared" ca="1" si="3"/>
        <v>0</v>
      </c>
      <c r="D27" s="445">
        <f t="shared" si="4"/>
        <v>39.58817409243958</v>
      </c>
      <c r="E27" s="445">
        <f t="shared" si="5"/>
        <v>89.620628744419022</v>
      </c>
      <c r="F27" s="445">
        <f t="shared" si="6"/>
        <v>0</v>
      </c>
      <c r="G27" s="445">
        <f t="shared" si="7"/>
        <v>45462.274016034724</v>
      </c>
      <c r="H27" s="445">
        <f t="shared" si="8"/>
        <v>8717.744681455817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54336.236565055704</v>
      </c>
    </row>
    <row r="28" spans="1:17">
      <c r="A28" s="440" t="s">
        <v>535</v>
      </c>
      <c r="B28" s="441">
        <f t="shared" ca="1" si="2"/>
        <v>2.9353101337844811</v>
      </c>
      <c r="C28" s="441">
        <f t="shared" ca="1" si="3"/>
        <v>0</v>
      </c>
      <c r="D28" s="441">
        <f t="shared" si="4"/>
        <v>0</v>
      </c>
      <c r="E28" s="441">
        <f t="shared" si="5"/>
        <v>0</v>
      </c>
      <c r="F28" s="441">
        <f t="shared" si="6"/>
        <v>0</v>
      </c>
      <c r="G28" s="441">
        <f t="shared" si="7"/>
        <v>361.54702675352348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364.48233688730795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129.63686681116889</v>
      </c>
      <c r="C32" s="441">
        <f t="shared" ca="1" si="3"/>
        <v>0</v>
      </c>
      <c r="D32" s="441">
        <f t="shared" si="4"/>
        <v>190.72859959730636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320.36546640847524</v>
      </c>
    </row>
    <row r="33" spans="1:17" s="450" customFormat="1">
      <c r="A33" s="957" t="s">
        <v>539</v>
      </c>
      <c r="B33" s="905">
        <f ca="1">SUM(B22:B32)</f>
        <v>7159.771753911712</v>
      </c>
      <c r="C33" s="905">
        <f t="shared" ref="C33:Q33" ca="1" si="18">SUM(C22:C32)</f>
        <v>13.749579831932778</v>
      </c>
      <c r="D33" s="905">
        <f t="shared" ca="1" si="18"/>
        <v>10138.602655696943</v>
      </c>
      <c r="E33" s="905">
        <f t="shared" si="18"/>
        <v>507.86283168325093</v>
      </c>
      <c r="F33" s="905">
        <f t="shared" ca="1" si="18"/>
        <v>11087.387516736891</v>
      </c>
      <c r="G33" s="905">
        <f t="shared" si="18"/>
        <v>45823.821042788244</v>
      </c>
      <c r="H33" s="905">
        <f t="shared" si="18"/>
        <v>8717.744681455817</v>
      </c>
      <c r="I33" s="905">
        <f t="shared" si="18"/>
        <v>0</v>
      </c>
      <c r="J33" s="905">
        <f t="shared" si="18"/>
        <v>88.924488312946664</v>
      </c>
      <c r="K33" s="905">
        <f t="shared" si="18"/>
        <v>0</v>
      </c>
      <c r="L33" s="905">
        <f t="shared" ca="1" si="18"/>
        <v>0</v>
      </c>
      <c r="M33" s="905">
        <f t="shared" si="18"/>
        <v>0</v>
      </c>
      <c r="N33" s="905">
        <f t="shared" ca="1" si="18"/>
        <v>0</v>
      </c>
      <c r="O33" s="905">
        <f t="shared" si="18"/>
        <v>0</v>
      </c>
      <c r="P33" s="905">
        <f t="shared" si="18"/>
        <v>0</v>
      </c>
      <c r="Q33" s="905">
        <f t="shared" ca="1" si="18"/>
        <v>83537.86455041774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2765.807947441373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40.5</v>
      </c>
      <c r="D8" s="974">
        <f>'SEAP template'!D76</f>
        <v>47.647058823529413</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9.6247058823529414</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2765.807947441373</v>
      </c>
      <c r="C10" s="978">
        <f>SUM(C4:C9)</f>
        <v>40.5</v>
      </c>
      <c r="D10" s="978">
        <f t="shared" ref="D10:H10" si="0">SUM(D8:D9)</f>
        <v>47.647058823529413</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9.6247058823529414</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0.20363450411664238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57.857142857142861</v>
      </c>
      <c r="D17" s="975">
        <f>'SEAP template'!D87</f>
        <v>68.067226890756316</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13.749579831932778</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57.857142857142861</v>
      </c>
      <c r="D20" s="978">
        <f t="shared" ref="D20:H20" si="2">SUM(D17:D19)</f>
        <v>68.067226890756316</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13.749579831932778</v>
      </c>
    </row>
    <row r="22" spans="1:16">
      <c r="A22" s="451" t="s">
        <v>800</v>
      </c>
      <c r="B22" s="714" t="s">
        <v>794</v>
      </c>
      <c r="C22" s="714">
        <f ca="1">'EF ele_warmte'!B22</f>
        <v>0.23764705882352946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0.20363450411664238</v>
      </c>
      <c r="C17" s="488">
        <f ca="1">'EF ele_warmte'!B22</f>
        <v>0.23764705882352946</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2022-07-26T10:37:57Z</dcterms:modified>
</cp:coreProperties>
</file>