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AD0760CB-C485-4531-AD26-22BDD7F392D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<sst xmlns="http://schemas.openxmlformats.org/spreadsheetml/2006/main" count="2397" uniqueCount="878">
  <si>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</si>
  <si>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</si>
  <si>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</si>
  <si>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</si>
  <si>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</si>
  <si>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</si>
  <si>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</si>
  <si>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</si>
  <si>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</si>
  <si>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</si>
  <si>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</si>
  <si>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</si>
  <si>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</si>
  <si>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</si>
  <si>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</si>
  <si>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</si>
  <si>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</si>
  <si>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</si>
  <si>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</si>
  <si>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</si>
  <si>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</si>
  <si>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</si>
  <si>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</si>
  <si>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</si>
  <si>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</si>
  <si>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</si>
  <si>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</si>
  <si>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</si>
  <si>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</si>
  <si>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</si>
  <si>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</si>
  <si>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</si>
  <si>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</si>
  <si>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</si>
  <si>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</si>
  <si>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</si>
  <si>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</si>
  <si>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</si>
  <si>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</si>
  <si>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</si>
  <si>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</si>
  <si>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</si>
  <si>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</si>
  <si>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</si>
  <si>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</si>
  <si>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</si>
  <si>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</si>
  <si>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</si>
  <si>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</si>
  <si>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</si>
  <si>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</si>
  <si>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</si>
  <si>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</si>
  <si>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</si>
  <si>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</si>
  <si>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</si>
  <si>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</si>
  <si>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</si>
  <si>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</si>
  <si>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</si>
  <si>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</si>
  <si>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</si>
  <si>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</si>
  <si>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</si>
  <si>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</si>
  <si>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</si>
  <si>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</si>
  <si>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</si>
  <si>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</si>
  <si>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</si>
  <si>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</si>
  <si>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</si>
  <si>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</si>
  <si>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</si>
  <si>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</si>
  <si>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</si>
  <si>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</si>
  <si>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</si>
  <si>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</si>
  <si>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</si>
  <si>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</si>
  <si>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</si>
  <si>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</si>
  <si>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</si>
  <si>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</si>
  <si>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</si>
  <si>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</si>
  <si>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</si>
  <si>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</si>
  <si>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</si>
  <si>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</si>
  <si>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</si>
  <si>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</si>
  <si>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</si>
  <si>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</si>
  <si>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</si>
  <si>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</si>
  <si>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</si>
  <si>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</si>
  <si>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</si>
  <si>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</si>
  <si>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</si>
  <si>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</si>
  <si>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</si>
  <si>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</si>
  <si>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</si>
  <si>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</si>
  <si>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</si>
  <si>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</si>
  <si>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</si>
  <si>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</si>
  <si>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</si>
  <si>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</si>
  <si>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</si>
  <si>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</si>
  <si>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</si>
  <si>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</si>
  <si>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</si>
  <si>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</si>
  <si>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</si>
  <si>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</si>
  <si>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</si>
  <si>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</si>
  <si>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</si>
  <si>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</si>
  <si>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</si>
  <si>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</si>
  <si>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</si>
  <si>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</si>
  <si>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</si>
  <si>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</si>
  <si>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</si>
  <si>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</si>
  <si>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</si>
  <si>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</si>
  <si>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</si>
  <si>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</si>
  <si>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</si>
  <si>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</si>
  <si>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</si>
  <si>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</si>
  <si>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</si>
  <si>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</si>
  <si>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</si>
  <si>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</si>
  <si>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</si>
  <si>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</si>
  <si>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</si>
  <si>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</si>
  <si>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</si>
  <si>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</si>
  <si>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</si>
  <si>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</si>
  <si>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</si>
  <si>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</si>
  <si>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</si>
  <si>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</si>
  <si>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</si>
  <si>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</si>
  <si>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</si>
  <si>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</si>
  <si>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</si>
  <si>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</si>
  <si>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</si>
  <si>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</si>
  <si>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</si>
  <si>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</si>
  <si>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</si>
  <si>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</si>
  <si>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</si>
  <si>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</si>
  <si>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</si>
  <si>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</si>
  <si>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</si>
  <si>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</si>
  <si>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</si>
  <si>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</si>
  <si>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</si>
  <si>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</si>
  <si>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</si>
  <si>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</si>
  <si>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</si>
  <si>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</si>
  <si>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</si>
  <si>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</si>
  <si>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</si>
  <si>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</si>
  <si>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</si>
  <si>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</si>
  <si>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</si>
  <si>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</si>
  <si>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</si>
  <si>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</si>
  <si>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</si>
  <si>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</si>
  <si>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</si>
  <si>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</si>
  <si>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</si>
  <si>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</si>
  <si>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</si>
  <si>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</si>
  <si>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</si>
  <si>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</si>
  <si>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</si>
  <si>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</si>
  <si>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</si>
  <si>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</si>
  <si>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</si>
  <si>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</si>
  <si>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</si>
  <si>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</si>
  <si>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</si>
  <si>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</si>
  <si>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</si>
  <si>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</si>
  <si>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</si>
  <si>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</si>
  <si>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</si>
  <si>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</si>
  <si>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</si>
  <si>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</si>
  <si>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</si>
  <si>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</si>
  <si>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</si>
  <si>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</si>
  <si>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</si>
  <si>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</si>
  <si>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</si>
  <si>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</si>
  <si>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</si>
  <si>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</si>
  <si>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</si>
  <si>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</si>
  <si>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</si>
  <si>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</si>
  <si>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</si>
  <si>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</si>
  <si>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</si>
  <si>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</si>
  <si>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</si>
  <si>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</si>
  <si>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</si>
  <si>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</si>
  <si>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</si>
  <si>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</si>
  <si>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</si>
  <si>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</si>
  <si>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</si>
  <si>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</si>
  <si>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</si>
  <si>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</si>
  <si>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</si>
  <si>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</si>
  <si>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</si>
  <si>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</si>
  <si>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</si>
  <si>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</si>
  <si>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</si>
  <si>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</si>
  <si>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</si>
  <si>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</si>
  <si>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</si>
  <si>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</si>
  <si>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</si>
  <si>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</si>
  <si>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</si>
  <si>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</si>
  <si>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</si>
  <si>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</si>
  <si>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</si>
  <si>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</si>
  <si>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</si>
  <si>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</si>
  <si>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</si>
  <si>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</si>
  <si>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</si>
  <si>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</si>
  <si>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</si>
  <si>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</si>
  <si>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</si>
  <si>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</si>
  <si>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</si>
  <si>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</si>
  <si>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</si>
  <si>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</si>
  <si>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</si>
  <si>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</si>
  <si>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</si>
  <si>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</si>
  <si>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</si>
  <si>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</si>
  <si>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</si>
  <si>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</si>
  <si>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</si>
  <si>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</si>
  <si>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</si>
  <si>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</si>
  <si>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</si>
  <si>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</si>
  <si>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</si>
  <si>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</si>
  <si>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</si>
  <si>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</si>
  <si>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</si>
  <si>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</si>
  <si>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</si>
  <si>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</si>
  <si>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</si>
  <si>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</si>
  <si>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</si>
  <si>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</si>
  <si>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</si>
  <si>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</si>
  <si>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</si>
  <si>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</si>
  <si>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</si>
  <si>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</si>
  <si>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</si>
  <si>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</si>
  <si>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</si>
  <si>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</si>
  <si>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</si>
  <si>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</si>
  <si>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</si>
  <si>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</si>
  <si>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</si>
  <si>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</si>
  <si>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</si>
  <si>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</si>
  <si>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</si>
  <si>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</si>
  <si>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</si>
  <si>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</si>
  <si>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</si>
  <si>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</si>
  <si>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</si>
  <si>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</si>
  <si>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</si>
  <si>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</si>
  <si>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</si>
  <si>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</si>
  <si>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</si>
  <si>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</si>
  <si>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</si>
  <si>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</si>
  <si>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</si>
  <si>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</si>
  <si>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</si>
  <si>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</si>
  <si>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</si>
  <si>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</si>
  <si>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</si>
  <si>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</si>
  <si>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</si>
  <si>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</si>
  <si>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</si>
  <si>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</si>
  <si>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</si>
  <si>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</si>
  <si>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</si>
  <si>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</si>
  <si>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</si>
  <si>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</si>
  <si>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</si>
  <si>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</si>
  <si>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</si>
  <si>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</si>
  <si>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</si>
  <si>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</si>
  <si>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</si>
  <si>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</si>
  <si>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</si>
  <si>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</si>
  <si>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</si>
  <si>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</si>
  <si>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</si>
  <si>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</si>
  <si>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</si>
  <si>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</si>
  <si>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</si>
  <si>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</si>
  <si>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</si>
  <si>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</si>
  <si>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</si>
  <si>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</si>
  <si>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</si>
  <si>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</si>
  <si>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</si>
  <si>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</si>
  <si>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</si>
  <si>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</si>
  <si>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</si>
  <si>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</si>
  <si>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</si>
  <si>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</si>
  <si>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</si>
  <si>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</si>
  <si>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</si>
  <si>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</si>
  <si>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</si>
  <si>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</si>
  <si>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</si>
  <si>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</si>
  <si>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</si>
  <si>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</si>
  <si>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</si>
  <si>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</si>
  <si>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</si>
  <si>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</si>
  <si>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</si>
  <si>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</si>
  <si>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</si>
  <si>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</si>
  <si>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</si>
  <si>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</si>
  <si>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</si>
  <si>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</si>
  <si>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</si>
  <si>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</si>
  <si>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</si>
  <si>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</si>
  <si>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</si>
  <si>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</si>
  <si>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</si>
  <si>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</si>
  <si>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</si>
  <si>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</si>
  <si>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</si>
  <si>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</si>
  <si>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</si>
  <si>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</si>
  <si>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</si>
  <si>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</si>
  <si>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</si>
  <si>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</si>
  <si>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</si>
  <si>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</si>
  <si>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</si>
  <si>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</si>
  <si>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</si>
  <si>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</si>
  <si>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</si>
  <si>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</si>
  <si>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</si>
  <si>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</si>
  <si>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</si>
  <si>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</si>
  <si>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</si>
  <si>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</si>
  <si>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</si>
  <si>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</si>
  <si>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</si>
  <si>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</si>
  <si>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</si>
  <si>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</si>
  <si>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</si>
  <si>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</si>
  <si>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</si>
  <si>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</si>
  <si>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</si>
  <si>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</si>
  <si>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</si>
  <si>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</si>
  <si>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</si>
  <si>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</si>
  <si>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</si>
  <si>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</si>
  <si>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</si>
  <si>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</si>
  <si>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</si>
  <si>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</si>
  <si>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</si>
  <si>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</si>
  <si>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</si>
  <si>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</si>
  <si>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</si>
  <si>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</si>
  <si>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</si>
  <si>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</si>
  <si>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</si>
  <si>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</si>
  <si>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</si>
  <si>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</si>
  <si>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</si>
  <si>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</si>
  <si>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</si>
  <si>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</si>
  <si>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</si>
  <si>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</si>
  <si>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</si>
  <si>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</si>
  <si>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</si>
  <si>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</si>
  <si>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</si>
  <si>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</si>
  <si>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</si>
  <si>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</si>
  <si>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</si>
  <si>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</si>
  <si>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</si>
  <si>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</si>
  <si>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</si>
  <si>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</si>
  <si>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</si>
  <si>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</si>
  <si>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</si>
  <si>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</si>
  <si>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</si>
  <si>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</si>
  <si>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</si>
  <si>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</si>
  <si>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</si>
  <si>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</si>
  <si>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</si>
  <si>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</si>
  <si>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</si>
  <si>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</si>
  <si>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</si>
  <si>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</si>
  <si>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</si>
  <si>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</si>
  <si>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</si>
  <si>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</si>
  <si>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</si>
  <si>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</si>
  <si>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</si>
  <si>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</si>
  <si>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</si>
  <si>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</si>
  <si>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</si>
  <si>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</si>
  <si>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</si>
  <si>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</si>
  <si>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</si>
  <si>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</si>
  <si>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</si>
  <si>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</si>
  <si>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</si>
  <si>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</si>
  <si>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</si>
  <si>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</si>
  <si>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</si>
  <si>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</si>
  <si>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</si>
  <si>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</si>
  <si>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</si>
  <si>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</si>
  <si>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</si>
  <si>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</si>
  <si>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</si>
  <si>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</si>
  <si>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</si>
  <si>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</si>
  <si>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</si>
  <si>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</si>
  <si>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</si>
  <si>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</si>
  <si>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</si>
  <si>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</si>
  <si>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</si>
  <si>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</si>
  <si>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</si>
  <si>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</si>
  <si>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</si>
  <si>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</si>
  <si>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</si>
  <si>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</si>
  <si>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</si>
  <si>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</si>
  <si>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</si>
  <si>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</si>
  <si>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</si>
  <si>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</si>
  <si>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</si>
  <si>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</si>
  <si>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</si>
  <si>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</si>
  <si>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</si>
  <si>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</si>
  <si>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</si>
  <si>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</si>
  <si>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</si>
  <si>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</si>
  <si>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</si>
  <si>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</si>
  <si>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</si>
  <si>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</si>
  <si>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</si>
  <si>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</si>
  <si>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</si>
  <si>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</si>
  <si>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</si>
  <si>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</si>
  <si>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</si>
  <si>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</si>
  <si>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</si>
  <si>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</si>
  <si>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</si>
  <si>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</si>
  <si>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</si>
  <si>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</si>
  <si>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</si>
  <si>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</si>
  <si>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</si>
  <si>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</si>
  <si>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</si>
  <si>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</si>
  <si>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</si>
  <si>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</si>
  <si>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</si>
  <si>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</si>
  <si>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</si>
  <si>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</si>
  <si>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</si>
  <si>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</si>
  <si>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</si>
  <si>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</si>
  <si>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</si>
  <si>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</si>
  <si>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</si>
  <si>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</si>
  <si>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</si>
  <si>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</si>
  <si>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</si>
  <si>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</si>
  <si>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</si>
  <si>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</si>
  <si>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</si>
  <si>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</si>
  <si>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</si>
  <si>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</si>
  <si>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</si>
  <si>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</si>
  <si>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</si>
  <si>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</si>
  <si>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</si>
  <si>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</si>
  <si>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</si>
  <si>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</si>
  <si>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</si>
  <si>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</si>
  <si>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</si>
  <si>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</si>
  <si>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</si>
  <si>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</si>
  <si>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</si>
  <si>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</si>
  <si>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</si>
  <si>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</si>
  <si>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</si>
  <si>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</si>
  <si>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</si>
  <si>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</si>
  <si>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</si>
  <si>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</si>
  <si>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</si>
  <si>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</si>
  <si>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</si>
  <si>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</si>
  <si>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</si>
  <si>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</si>
  <si>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</si>
  <si>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</si>
  <si>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</si>
  <si>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</si>
  <si>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</si>
  <si>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</si>
  <si>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</si>
  <si>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</si>
  <si>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</si>
  <si>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</si>
  <si>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</si>
  <si>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</si>
  <si>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</si>
  <si>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</si>
  <si>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</si>
  <si>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</si>
  <si>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</si>
  <si>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</si>
  <si>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</si>
  <si>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</si>
  <si>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</si>
  <si>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</si>
  <si>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</si>
  <si>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</si>
  <si>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</si>
  <si>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</si>
  <si>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</si>
  <si>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</si>
  <si>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</si>
  <si>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</si>
  <si>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</si>
  <si>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</si>
  <si>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</si>
  <si>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</si>
  <si>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</si>
  <si>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</si>
  <si>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</si>
  <si>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</si>
  <si>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</si>
  <si>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</si>
  <si>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</si>
  <si>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</si>
  <si>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</si>
  <si>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</si>
  <si>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</si>
  <si>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</si>
  <si>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</si>
  <si>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</si>
  <si>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</si>
  <si>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</si>
  <si>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</si>
  <si>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</si>
  <si>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</si>
  <si>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</si>
  <si>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</si>
  <si>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</si>
  <si>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</si>
  <si>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</si>
  <si>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</si>
  <si>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</si>
  <si>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</si>
  <si>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</si>
  <si>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</si>
  <si>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</si>
  <si>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</si>
  <si>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</si>
  <si>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</si>
  <si>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</si>
  <si>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</si>
  <si>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</si>
  <si>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</si>
  <si>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</si>
  <si>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</si>
  <si>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</si>
  <si>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</si>
  <si>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</si>
  <si>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</si>
  <si>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</si>
  <si>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</si>
  <si>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</si>
  <si>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</si>
  <si>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</si>
  <si>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</si>
  <si>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</si>
  <si>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</si>
  <si>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</si>
  <si>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</si>
  <si>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</si>
  <si>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</si>
  <si>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</si>
  <si>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</si>
  <si>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</si>
  <si>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</si>
  <si>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</si>
  <si>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</si>
  <si>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</si>
  <si>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</si>
  <si>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</si>
  <si>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</si>
  <si>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</si>
  <si>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</si>
  <si>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</si>
  <si>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</si>
  <si>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</si>
  <si>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</si>
  <si>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</si>
  <si>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</si>
  <si>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</si>
  <si>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</si>
  <si>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</si>
  <si>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</si>
  <si>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</si>
  <si>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</si>
  <si>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</si>
  <si>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</si>
  <si>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</si>
  <si>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</si>
  <si>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</si>
  <si>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</si>
  <si>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</si>
  <si>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</si>
  <si>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</si>
  <si>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</si>
  <si>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</si>
  <si>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</si>
  <si>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</si>
  <si>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</si>
  <si>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</si>
  <si>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</si>
  <si>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</si>
  <si>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</si>
  <si>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</si>
  <si>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</si>
  <si>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</si>
  <si>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</si>
  <si>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</si>
  <si>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</si>
  <si>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</si>
  <si>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</si>
  <si>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</si>
  <si>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</si>
  <si>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</si>
  <si>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</si>
  <si>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</si>
  <si>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</si>
  <si>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</si>
  <si>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</si>
  <si>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</si>
  <si>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</si>
  <si>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</si>
  <si>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</si>
  <si>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</si>
  <si>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</si>
  <si>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</si>
  <si>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</si>
  <si>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</si>
  <si>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</si>
  <si>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</si>
  <si>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</si>
  <si>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</si>
  <si>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</si>
  <si>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</si>
  <si>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</si>
  <si>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</si>
  <si>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</si>
  <si>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</si>
  <si>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</si>
  <si>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</si>
  <si>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</si>
  <si>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</si>
  <si>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</si>
  <si>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</si>
  <si>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</si>
  <si>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</si>
  <si>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</si>
  <si>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</si>
  <si>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</si>
  <si>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</si>
  <si>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</si>
  <si>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</si>
  <si>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</si>
  <si>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</si>
  <si>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</si>
  <si>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</si>
  <si>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</si>
  <si>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</si>
  <si>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</si>
  <si>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</si>
  <si>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</si>
  <si>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</si>
  <si>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</si>
  <si>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</si>
  <si>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</si>
  <si>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</si>
  <si>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</si>
  <si>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</si>
  <si>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</si>
  <si>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</si>
  <si>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</si>
  <si>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</si>
  <si>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</si>
  <si>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</si>
  <si>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</si>
  <si>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</si>
  <si>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</si>
  <si>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</si>
  <si>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</si>
  <si>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</si>
  <si>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</si>
  <si>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</si>
  <si>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</si>
  <si>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</si>
  <si>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</si>
  <si>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</si>
  <si>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13053</t>
  </si>
  <si>
    <t>LAAKDAL</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</si>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</sst>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FEB10542-C2F5-4EC4-A8B5-2D0A33B7707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133150.56022017545</c:v>
                </c:pt>
                <c:pt idx="1">
                  <c:v>39274.416864906074</c:v>
                </c:pt>
                <c:pt idx="2">
                  <c:v>926.68600000000004</c:v>
                </c:pt>
                <c:pt idx="3">
                  <c:v>8542.244219974491</c:v>
                </c:pt>
                <c:pt idx="4">
                  <c:v>4712.0164382539406</c:v>
                </c:pt>
                <c:pt idx="5">
                  <c:v>204463.76936628274</c:v>
                </c:pt>
                <c:pt idx="6">
                  <c:v>712.42527713808897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133150.56022017545</c:v>
                </c:pt>
                <c:pt idx="1">
                  <c:v>39274.416864906074</c:v>
                </c:pt>
                <c:pt idx="2">
                  <c:v>926.68600000000004</c:v>
                </c:pt>
                <c:pt idx="3">
                  <c:v>8542.244219974491</c:v>
                </c:pt>
                <c:pt idx="4">
                  <c:v>4712.0164382539406</c:v>
                </c:pt>
                <c:pt idx="5">
                  <c:v>204463.76936628274</c:v>
                </c:pt>
                <c:pt idx="6">
                  <c:v>712.42527713808897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26987.456894217692</c:v>
                </c:pt>
                <c:pt idx="2">
                  <c:v>7557.3942176368928</c:v>
                </c:pt>
                <c:pt idx="3">
                  <c:v>169.92624015051331</c:v>
                </c:pt>
                <c:pt idx="4">
                  <c:v>2035.2432520523346</c:v>
                </c:pt>
                <c:pt idx="5">
                  <c:v>941.25154152678715</c:v>
                </c:pt>
                <c:pt idx="6">
                  <c:v>51230.12495937333</c:v>
                </c:pt>
                <c:pt idx="7">
                  <c:v>179.3694434456188</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26987.456894217692</c:v>
                </c:pt>
                <c:pt idx="2">
                  <c:v>7557.3942176368928</c:v>
                </c:pt>
                <c:pt idx="3">
                  <c:v>169.92624015051331</c:v>
                </c:pt>
                <c:pt idx="4">
                  <c:v>2035.2432520523346</c:v>
                </c:pt>
                <c:pt idx="5">
                  <c:v>941.25154152678715</c:v>
                </c:pt>
                <c:pt idx="6">
                  <c:v>51230.12495937333</c:v>
                </c:pt>
                <c:pt idx="7">
                  <c:v>179.3694434456188</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13053</v>
      </c>
      <c r="B6" s="380"/>
      <c r="C6" s="381"/>
    </row>
    <row r="7" spans="1:7" s="378" customFormat="1" ht="15.75" customHeight="1">
      <c r="A7" s="382" t="str">
        <f>txtMunicipality</f>
        <v>LAAKDAL</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0.1833698147490232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0.1833698147490232</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6683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1559.59</v>
      </c>
      <c r="C14" s="322"/>
      <c r="D14" s="322"/>
      <c r="E14" s="322"/>
      <c r="F14" s="322"/>
    </row>
    <row r="15" spans="1:6">
      <c r="A15" s="1248" t="s">
        <v>177</v>
      </c>
      <c r="B15" s="1249">
        <v>1110</v>
      </c>
      <c r="C15" s="322"/>
      <c r="D15" s="322"/>
      <c r="E15" s="322"/>
      <c r="F15" s="322"/>
    </row>
    <row r="16" spans="1:6">
      <c r="A16" s="1248" t="s">
        <v>6</v>
      </c>
      <c r="B16" s="1249">
        <v>528</v>
      </c>
      <c r="C16" s="322"/>
      <c r="D16" s="322"/>
      <c r="E16" s="322"/>
      <c r="F16" s="322"/>
    </row>
    <row r="17" spans="1:6">
      <c r="A17" s="1248" t="s">
        <v>7</v>
      </c>
      <c r="B17" s="1249">
        <v>118</v>
      </c>
      <c r="C17" s="322"/>
      <c r="D17" s="322"/>
      <c r="E17" s="322"/>
      <c r="F17" s="322"/>
    </row>
    <row r="18" spans="1:6">
      <c r="A18" s="1248" t="s">
        <v>8</v>
      </c>
      <c r="B18" s="1249">
        <v>371</v>
      </c>
      <c r="C18" s="322"/>
      <c r="D18" s="322"/>
      <c r="E18" s="322"/>
      <c r="F18" s="322"/>
    </row>
    <row r="19" spans="1:6">
      <c r="A19" s="1248" t="s">
        <v>9</v>
      </c>
      <c r="B19" s="1249">
        <v>318</v>
      </c>
      <c r="C19" s="322"/>
      <c r="D19" s="322"/>
      <c r="E19" s="322"/>
      <c r="F19" s="322"/>
    </row>
    <row r="20" spans="1:6">
      <c r="A20" s="1248" t="s">
        <v>10</v>
      </c>
      <c r="B20" s="1249">
        <v>199</v>
      </c>
      <c r="C20" s="322"/>
      <c r="D20" s="322"/>
      <c r="E20" s="322"/>
      <c r="F20" s="322"/>
    </row>
    <row r="21" spans="1:6">
      <c r="A21" s="1248" t="s">
        <v>11</v>
      </c>
      <c r="B21" s="1249">
        <v>2447</v>
      </c>
      <c r="C21" s="322"/>
      <c r="D21" s="322"/>
      <c r="E21" s="322"/>
      <c r="F21" s="322"/>
    </row>
    <row r="22" spans="1:6">
      <c r="A22" s="1248" t="s">
        <v>12</v>
      </c>
      <c r="B22" s="1249">
        <v>4411</v>
      </c>
      <c r="C22" s="322"/>
      <c r="D22" s="322"/>
      <c r="E22" s="322"/>
      <c r="F22" s="322"/>
    </row>
    <row r="23" spans="1:6">
      <c r="A23" s="1248" t="s">
        <v>13</v>
      </c>
      <c r="B23" s="1249">
        <v>137</v>
      </c>
      <c r="C23" s="322"/>
      <c r="D23" s="322"/>
      <c r="E23" s="322"/>
      <c r="F23" s="322"/>
    </row>
    <row r="24" spans="1:6">
      <c r="A24" s="1248" t="s">
        <v>14</v>
      </c>
      <c r="B24" s="1249">
        <v>6</v>
      </c>
      <c r="C24" s="322"/>
      <c r="D24" s="322"/>
      <c r="E24" s="322"/>
      <c r="F24" s="322"/>
    </row>
    <row r="25" spans="1:6">
      <c r="A25" s="1248" t="s">
        <v>15</v>
      </c>
      <c r="B25" s="1249">
        <v>713</v>
      </c>
      <c r="C25" s="322"/>
      <c r="D25" s="322"/>
      <c r="E25" s="322"/>
      <c r="F25" s="322"/>
    </row>
    <row r="26" spans="1:6">
      <c r="A26" s="1248" t="s">
        <v>16</v>
      </c>
      <c r="B26" s="1249">
        <v>214</v>
      </c>
      <c r="C26" s="322"/>
      <c r="D26" s="322"/>
      <c r="E26" s="322"/>
      <c r="F26" s="322"/>
    </row>
    <row r="27" spans="1:6">
      <c r="A27" s="1248" t="s">
        <v>17</v>
      </c>
      <c r="B27" s="1249">
        <v>0</v>
      </c>
      <c r="C27" s="322"/>
      <c r="D27" s="322"/>
      <c r="E27" s="322"/>
      <c r="F27" s="322"/>
    </row>
    <row r="28" spans="1:6">
      <c r="A28" s="1248" t="s">
        <v>18</v>
      </c>
      <c r="B28" s="1250">
        <v>52470</v>
      </c>
      <c r="C28" s="322"/>
      <c r="D28" s="322"/>
      <c r="E28" s="322"/>
      <c r="F28" s="322"/>
    </row>
    <row r="29" spans="1:6">
      <c r="A29" s="1248" t="s">
        <v>691</v>
      </c>
      <c r="B29" s="1250">
        <v>203</v>
      </c>
      <c r="C29" s="322"/>
      <c r="D29" s="322"/>
      <c r="E29" s="322"/>
      <c r="F29" s="322"/>
    </row>
    <row r="30" spans="1:6">
      <c r="A30" s="1243" t="s">
        <v>692</v>
      </c>
      <c r="B30" s="1251">
        <v>43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4</v>
      </c>
      <c r="D36" s="1249">
        <v>319649</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4113</v>
      </c>
    </row>
    <row r="39" spans="1:6">
      <c r="A39" s="1248" t="s">
        <v>29</v>
      </c>
      <c r="B39" s="1248" t="s">
        <v>30</v>
      </c>
      <c r="C39" s="1249">
        <v>3303</v>
      </c>
      <c r="D39" s="1249">
        <v>49638555.950000003</v>
      </c>
      <c r="E39" s="1249">
        <v>6594</v>
      </c>
      <c r="F39" s="1249">
        <v>20461061.300000001</v>
      </c>
    </row>
    <row r="40" spans="1:6">
      <c r="A40" s="1248" t="s">
        <v>29</v>
      </c>
      <c r="B40" s="1248" t="s">
        <v>28</v>
      </c>
      <c r="C40" s="1249">
        <v>0</v>
      </c>
      <c r="D40" s="1249">
        <v>0</v>
      </c>
      <c r="E40" s="1249">
        <v>0</v>
      </c>
      <c r="F40" s="1249">
        <v>0</v>
      </c>
    </row>
    <row r="41" spans="1:6">
      <c r="A41" s="1248" t="s">
        <v>31</v>
      </c>
      <c r="B41" s="1248" t="s">
        <v>32</v>
      </c>
      <c r="C41" s="1249">
        <v>55</v>
      </c>
      <c r="D41" s="1249">
        <v>1338742.8</v>
      </c>
      <c r="E41" s="1249">
        <v>142</v>
      </c>
      <c r="F41" s="1249">
        <v>1007799.8810000001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4</v>
      </c>
      <c r="D44" s="1249">
        <v>103002</v>
      </c>
      <c r="E44" s="1249">
        <v>26</v>
      </c>
      <c r="F44" s="1249">
        <v>224031</v>
      </c>
    </row>
    <row r="45" spans="1:6">
      <c r="A45" s="1248" t="s">
        <v>31</v>
      </c>
      <c r="B45" s="1248" t="s">
        <v>36</v>
      </c>
      <c r="C45" s="1249">
        <v>0</v>
      </c>
      <c r="D45" s="1249">
        <v>0</v>
      </c>
      <c r="E45" s="1249">
        <v>4</v>
      </c>
      <c r="F45" s="1249">
        <v>237671</v>
      </c>
    </row>
    <row r="46" spans="1:6">
      <c r="A46" s="1248" t="s">
        <v>31</v>
      </c>
      <c r="B46" s="1248" t="s">
        <v>37</v>
      </c>
      <c r="C46" s="1249">
        <v>0</v>
      </c>
      <c r="D46" s="1249">
        <v>0</v>
      </c>
      <c r="E46" s="1249">
        <v>0</v>
      </c>
      <c r="F46" s="1249">
        <v>0</v>
      </c>
    </row>
    <row r="47" spans="1:6">
      <c r="A47" s="1248" t="s">
        <v>31</v>
      </c>
      <c r="B47" s="1248" t="s">
        <v>38</v>
      </c>
      <c r="C47" s="1249">
        <v>0</v>
      </c>
      <c r="D47" s="1249">
        <v>0</v>
      </c>
      <c r="E47" s="1249">
        <v>6</v>
      </c>
      <c r="F47" s="1249">
        <v>213156</v>
      </c>
    </row>
    <row r="48" spans="1:6">
      <c r="A48" s="1248" t="s">
        <v>31</v>
      </c>
      <c r="B48" s="1248" t="s">
        <v>28</v>
      </c>
      <c r="C48" s="1249">
        <v>4</v>
      </c>
      <c r="D48" s="1249">
        <v>58688</v>
      </c>
      <c r="E48" s="1249">
        <v>3</v>
      </c>
      <c r="F48" s="1249">
        <v>25467</v>
      </c>
    </row>
    <row r="49" spans="1:6">
      <c r="A49" s="1248" t="s">
        <v>31</v>
      </c>
      <c r="B49" s="1248" t="s">
        <v>39</v>
      </c>
      <c r="C49" s="1249">
        <v>0</v>
      </c>
      <c r="D49" s="1249">
        <v>0</v>
      </c>
      <c r="E49" s="1249">
        <v>0</v>
      </c>
      <c r="F49" s="1249">
        <v>0</v>
      </c>
    </row>
    <row r="50" spans="1:6">
      <c r="A50" s="1248" t="s">
        <v>31</v>
      </c>
      <c r="B50" s="1248" t="s">
        <v>40</v>
      </c>
      <c r="C50" s="1249">
        <v>8</v>
      </c>
      <c r="D50" s="1249">
        <v>289782</v>
      </c>
      <c r="E50" s="1249">
        <v>15</v>
      </c>
      <c r="F50" s="1249">
        <v>471268</v>
      </c>
    </row>
    <row r="51" spans="1:6">
      <c r="A51" s="1248" t="s">
        <v>41</v>
      </c>
      <c r="B51" s="1248" t="s">
        <v>42</v>
      </c>
      <c r="C51" s="1249">
        <v>4</v>
      </c>
      <c r="D51" s="1249">
        <v>2936648.7710000002</v>
      </c>
      <c r="E51" s="1249">
        <v>50</v>
      </c>
      <c r="F51" s="1249">
        <v>1182310.173</v>
      </c>
    </row>
    <row r="52" spans="1:6">
      <c r="A52" s="1248" t="s">
        <v>41</v>
      </c>
      <c r="B52" s="1248" t="s">
        <v>28</v>
      </c>
      <c r="C52" s="1249">
        <v>0</v>
      </c>
      <c r="D52" s="1249">
        <v>0</v>
      </c>
      <c r="E52" s="1249">
        <v>0</v>
      </c>
      <c r="F52" s="1249">
        <v>0</v>
      </c>
    </row>
    <row r="53" spans="1:6">
      <c r="A53" s="1248" t="s">
        <v>43</v>
      </c>
      <c r="B53" s="1248" t="s">
        <v>44</v>
      </c>
      <c r="C53" s="1249">
        <v>32</v>
      </c>
      <c r="D53" s="1249">
        <v>666333.80000000005</v>
      </c>
      <c r="E53" s="1249">
        <v>129</v>
      </c>
      <c r="F53" s="1249">
        <v>484192.05</v>
      </c>
    </row>
    <row r="54" spans="1:6">
      <c r="A54" s="1248" t="s">
        <v>45</v>
      </c>
      <c r="B54" s="1248" t="s">
        <v>46</v>
      </c>
      <c r="C54" s="1249">
        <v>0</v>
      </c>
      <c r="D54" s="1249">
        <v>0</v>
      </c>
      <c r="E54" s="1249">
        <v>3</v>
      </c>
      <c r="F54" s="1249">
        <v>926686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30</v>
      </c>
      <c r="D57" s="1249">
        <v>3361468.9709999999</v>
      </c>
      <c r="E57" s="1249">
        <v>96</v>
      </c>
      <c r="F57" s="1249">
        <v>2867097.58</v>
      </c>
    </row>
    <row r="58" spans="1:6">
      <c r="A58" s="1248" t="s">
        <v>48</v>
      </c>
      <c r="B58" s="1248" t="s">
        <v>50</v>
      </c>
      <c r="C58" s="1249">
        <v>25</v>
      </c>
      <c r="D58" s="1249">
        <v>3062459.071</v>
      </c>
      <c r="E58" s="1249">
        <v>36</v>
      </c>
      <c r="F58" s="1249">
        <v>981622.00600000005</v>
      </c>
    </row>
    <row r="59" spans="1:6">
      <c r="A59" s="1248" t="s">
        <v>48</v>
      </c>
      <c r="B59" s="1248" t="s">
        <v>51</v>
      </c>
      <c r="C59" s="1249">
        <v>65</v>
      </c>
      <c r="D59" s="1249">
        <v>3081001</v>
      </c>
      <c r="E59" s="1249">
        <v>148</v>
      </c>
      <c r="F59" s="1249">
        <v>9159438.8019999992</v>
      </c>
    </row>
    <row r="60" spans="1:6">
      <c r="A60" s="1248" t="s">
        <v>48</v>
      </c>
      <c r="B60" s="1248" t="s">
        <v>52</v>
      </c>
      <c r="C60" s="1249">
        <v>44</v>
      </c>
      <c r="D60" s="1249">
        <v>1771842</v>
      </c>
      <c r="E60" s="1249">
        <v>75</v>
      </c>
      <c r="F60" s="1249">
        <v>1766843.4129999999</v>
      </c>
    </row>
    <row r="61" spans="1:6">
      <c r="A61" s="1248" t="s">
        <v>48</v>
      </c>
      <c r="B61" s="1248" t="s">
        <v>53</v>
      </c>
      <c r="C61" s="1249">
        <v>103</v>
      </c>
      <c r="D61" s="1249">
        <v>5170883.3710000003</v>
      </c>
      <c r="E61" s="1249">
        <v>198</v>
      </c>
      <c r="F61" s="1249">
        <v>3892008.1230000001</v>
      </c>
    </row>
    <row r="62" spans="1:6">
      <c r="A62" s="1248" t="s">
        <v>48</v>
      </c>
      <c r="B62" s="1248" t="s">
        <v>54</v>
      </c>
      <c r="C62" s="1249">
        <v>5</v>
      </c>
      <c r="D62" s="1249">
        <v>609541</v>
      </c>
      <c r="E62" s="1249">
        <v>7</v>
      </c>
      <c r="F62" s="1249">
        <v>123132.74099999999</v>
      </c>
    </row>
    <row r="63" spans="1:6">
      <c r="A63" s="1248" t="s">
        <v>48</v>
      </c>
      <c r="B63" s="1248" t="s">
        <v>28</v>
      </c>
      <c r="C63" s="1249">
        <v>0</v>
      </c>
      <c r="D63" s="1249">
        <v>0</v>
      </c>
      <c r="E63" s="1249">
        <v>1</v>
      </c>
      <c r="F63" s="1249">
        <v>1880</v>
      </c>
    </row>
    <row r="64" spans="1:6">
      <c r="A64" s="1248" t="s">
        <v>55</v>
      </c>
      <c r="B64" s="1248" t="s">
        <v>56</v>
      </c>
      <c r="C64" s="1249">
        <v>0</v>
      </c>
      <c r="D64" s="1249">
        <v>0</v>
      </c>
      <c r="E64" s="1249">
        <v>0</v>
      </c>
      <c r="F64" s="1249">
        <v>0</v>
      </c>
    </row>
    <row r="65" spans="1:6">
      <c r="A65" s="1248" t="s">
        <v>55</v>
      </c>
      <c r="B65" s="1248" t="s">
        <v>28</v>
      </c>
      <c r="C65" s="1249">
        <v>2</v>
      </c>
      <c r="D65" s="1249">
        <v>118948</v>
      </c>
      <c r="E65" s="1249">
        <v>1</v>
      </c>
      <c r="F65" s="1249">
        <v>3962</v>
      </c>
    </row>
    <row r="66" spans="1:6">
      <c r="A66" s="1248" t="s">
        <v>55</v>
      </c>
      <c r="B66" s="1248" t="s">
        <v>57</v>
      </c>
      <c r="C66" s="1249">
        <v>0</v>
      </c>
      <c r="D66" s="1249">
        <v>0</v>
      </c>
      <c r="E66" s="1249">
        <v>19</v>
      </c>
      <c r="F66" s="1249">
        <v>187129.8</v>
      </c>
    </row>
    <row r="67" spans="1:6">
      <c r="A67" s="1248" t="s">
        <v>55</v>
      </c>
      <c r="B67" s="1248" t="s">
        <v>58</v>
      </c>
      <c r="C67" s="1249">
        <v>0</v>
      </c>
      <c r="D67" s="1249">
        <v>0</v>
      </c>
      <c r="E67" s="1249">
        <v>0</v>
      </c>
      <c r="F67" s="1249">
        <v>0</v>
      </c>
    </row>
    <row r="68" spans="1:6">
      <c r="A68" s="1243" t="s">
        <v>55</v>
      </c>
      <c r="B68" s="1243" t="s">
        <v>59</v>
      </c>
      <c r="C68" s="1251">
        <v>0</v>
      </c>
      <c r="D68" s="1251">
        <v>0</v>
      </c>
      <c r="E68" s="1251">
        <v>13</v>
      </c>
      <c r="F68" s="1251">
        <v>276589.72399999999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93326142</v>
      </c>
      <c r="E73" s="439"/>
      <c r="F73" s="322"/>
    </row>
    <row r="74" spans="1:6">
      <c r="A74" s="1248" t="s">
        <v>63</v>
      </c>
      <c r="B74" s="1248" t="s">
        <v>617</v>
      </c>
      <c r="C74" s="1261" t="s">
        <v>619</v>
      </c>
      <c r="D74" s="1249">
        <v>5092729</v>
      </c>
      <c r="E74" s="439"/>
      <c r="F74" s="322"/>
    </row>
    <row r="75" spans="1:6">
      <c r="A75" s="1248" t="s">
        <v>64</v>
      </c>
      <c r="B75" s="1248" t="s">
        <v>616</v>
      </c>
      <c r="C75" s="1261" t="s">
        <v>620</v>
      </c>
      <c r="D75" s="1249">
        <v>8916869</v>
      </c>
      <c r="E75" s="439"/>
      <c r="F75" s="322"/>
    </row>
    <row r="76" spans="1:6">
      <c r="A76" s="1248" t="s">
        <v>64</v>
      </c>
      <c r="B76" s="1248" t="s">
        <v>617</v>
      </c>
      <c r="C76" s="1261" t="s">
        <v>621</v>
      </c>
      <c r="D76" s="1249">
        <v>550734</v>
      </c>
      <c r="E76" s="439"/>
      <c r="F76" s="322"/>
    </row>
    <row r="77" spans="1:6">
      <c r="A77" s="1248" t="s">
        <v>65</v>
      </c>
      <c r="B77" s="1248" t="s">
        <v>616</v>
      </c>
      <c r="C77" s="1261" t="s">
        <v>622</v>
      </c>
      <c r="D77" s="1249">
        <v>99132646</v>
      </c>
      <c r="E77" s="439"/>
      <c r="F77" s="322"/>
    </row>
    <row r="78" spans="1:6">
      <c r="A78" s="1243" t="s">
        <v>65</v>
      </c>
      <c r="B78" s="1243" t="s">
        <v>617</v>
      </c>
      <c r="C78" s="1243" t="s">
        <v>623</v>
      </c>
      <c r="D78" s="1251">
        <v>21668628</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193770</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5332.5962143804391</v>
      </c>
      <c r="C91" s="322"/>
      <c r="D91" s="322"/>
      <c r="E91" s="322"/>
      <c r="F91" s="322"/>
    </row>
    <row r="92" spans="1:6">
      <c r="A92" s="1243" t="s">
        <v>68</v>
      </c>
      <c r="B92" s="1244">
        <v>3092.2156651597825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1228</v>
      </c>
      <c r="C97" s="322"/>
      <c r="D97" s="322"/>
      <c r="E97" s="322"/>
      <c r="F97" s="322"/>
    </row>
    <row r="98" spans="1:6">
      <c r="A98" s="1248" t="s">
        <v>71</v>
      </c>
      <c r="B98" s="1249">
        <v>10</v>
      </c>
      <c r="C98" s="322"/>
      <c r="D98" s="322"/>
      <c r="E98" s="322"/>
      <c r="F98" s="322"/>
    </row>
    <row r="99" spans="1:6">
      <c r="A99" s="1248" t="s">
        <v>72</v>
      </c>
      <c r="B99" s="1249">
        <v>85</v>
      </c>
      <c r="C99" s="322"/>
      <c r="D99" s="322"/>
      <c r="E99" s="322"/>
      <c r="F99" s="322"/>
    </row>
    <row r="100" spans="1:6">
      <c r="A100" s="1248" t="s">
        <v>73</v>
      </c>
      <c r="B100" s="1249">
        <v>176</v>
      </c>
      <c r="C100" s="322"/>
      <c r="D100" s="322"/>
      <c r="E100" s="322"/>
      <c r="F100" s="322"/>
    </row>
    <row r="101" spans="1:6">
      <c r="A101" s="1248" t="s">
        <v>74</v>
      </c>
      <c r="B101" s="1249">
        <v>75</v>
      </c>
      <c r="C101" s="322"/>
      <c r="D101" s="322"/>
      <c r="E101" s="322"/>
      <c r="F101" s="322"/>
    </row>
    <row r="102" spans="1:6">
      <c r="A102" s="1248" t="s">
        <v>75</v>
      </c>
      <c r="B102" s="1249">
        <v>55</v>
      </c>
      <c r="C102" s="322"/>
      <c r="D102" s="322"/>
      <c r="E102" s="322"/>
      <c r="F102" s="322"/>
    </row>
    <row r="103" spans="1:6">
      <c r="A103" s="1248" t="s">
        <v>76</v>
      </c>
      <c r="B103" s="1249">
        <v>167</v>
      </c>
      <c r="C103" s="322"/>
      <c r="D103" s="322"/>
      <c r="E103" s="322"/>
      <c r="F103" s="322"/>
    </row>
    <row r="104" spans="1:6">
      <c r="A104" s="1248" t="s">
        <v>77</v>
      </c>
      <c r="B104" s="1249">
        <v>3833</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1</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65</v>
      </c>
      <c r="C123" s="1249">
        <v>53</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218</v>
      </c>
      <c r="C129" s="322"/>
      <c r="D129" s="322"/>
      <c r="E129" s="322"/>
      <c r="F129" s="322"/>
    </row>
    <row r="130" spans="1:6">
      <c r="A130" s="1248" t="s">
        <v>283</v>
      </c>
      <c r="B130" s="1249">
        <v>4</v>
      </c>
      <c r="C130" s="322"/>
      <c r="D130" s="322"/>
      <c r="E130" s="322"/>
      <c r="F130" s="322"/>
    </row>
    <row r="131" spans="1:6">
      <c r="A131" s="1248" t="s">
        <v>284</v>
      </c>
      <c r="B131" s="1249">
        <v>1</v>
      </c>
      <c r="C131" s="322"/>
      <c r="D131" s="322"/>
      <c r="E131" s="322"/>
      <c r="F131" s="322"/>
    </row>
    <row r="132" spans="1:6">
      <c r="A132" s="1243" t="s">
        <v>285</v>
      </c>
      <c r="B132" s="1244">
        <v>47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49478.454941437187</v>
      </c>
      <c r="C3" s="43" t="s">
        <v>163</v>
      </c>
      <c r="D3" s="43"/>
      <c r="E3" s="153"/>
      <c r="F3" s="43"/>
      <c r="G3" s="43"/>
      <c r="H3" s="43"/>
      <c r="I3" s="43"/>
      <c r="J3" s="43"/>
      <c r="K3" s="96"/>
    </row>
    <row r="4" spans="1:11">
      <c r="A4" s="348" t="s">
        <v>164</v>
      </c>
      <c r="B4" s="49">
        <f>IF(ISERROR('SEAP template'!B78+'SEAP template'!C78),0,'SEAP template'!B78+'SEAP template'!C78)</f>
        <v>8424.8118795402224</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0.1833698147490232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926.68600000000004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926.68600000000004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0.1833698147490232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169.92624015051331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20461.061300000001</v>
      </c>
      <c r="C5" s="17">
        <f>IF(ISERROR('Eigen informatie GS &amp; warmtenet'!B57),0,'Eigen informatie GS &amp; warmtenet'!B57)</f>
        <v>0</v>
      </c>
      <c r="D5" s="30">
        <f>(SUM(HH_hh_gas_kWh,HH_rest_gas_kWh)/1000)*0.902</f>
        <v>44773.977466900003</v>
      </c>
      <c r="E5" s="17">
        <f>B32*B41</f>
        <v>2046.034720323632</v>
      </c>
      <c r="F5" s="17">
        <f>B36*B45</f>
        <v>47425.492968942111</v>
      </c>
      <c r="G5" s="18"/>
      <c r="H5" s="17"/>
      <c r="I5" s="17"/>
      <c r="J5" s="17">
        <f>B35*B44+C35*C44</f>
        <v>243.72525867568339</v>
      </c>
      <c r="K5" s="17"/>
      <c r="L5" s="17"/>
      <c r="M5" s="17"/>
      <c r="N5" s="17">
        <f>B34*B43+C34*C43</f>
        <v>10308.542290953601</v>
      </c>
      <c r="O5" s="17">
        <f>B52*B53*B54</f>
        <v>423.66333333333336</v>
      </c>
      <c r="P5" s="17">
        <f>B60*B61*B62/1000-B60*B61*B62/1000/B63</f>
        <v>2135.4666666666667</v>
      </c>
    </row>
    <row r="6" spans="1:16">
      <c r="A6" s="16" t="s">
        <v>582</v>
      </c>
      <c r="B6" s="716">
        <f>kWh_PV_kleiner_dan_10kW</f>
        <v>5332.5962143804391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25793.65751438044</v>
      </c>
      <c r="C8" s="21">
        <f>C5</f>
        <v>0</v>
      </c>
      <c r="D8" s="21">
        <f>D5</f>
        <v>44773.977466900003</v>
      </c>
      <c r="E8" s="21">
        <f>E5</f>
        <v>2046.034720323632</v>
      </c>
      <c r="F8" s="21">
        <f>F5</f>
        <v>47425.492968942111</v>
      </c>
      <c r="G8" s="21"/>
      <c r="H8" s="21"/>
      <c r="I8" s="21"/>
      <c r="J8" s="21">
        <f>J5</f>
        <v>243.72525867568339</v>
      </c>
      <c r="K8" s="21"/>
      <c r="L8" s="21">
        <f>L5</f>
        <v>0</v>
      </c>
      <c r="M8" s="21">
        <f>M5</f>
        <v>0</v>
      </c>
      <c r="N8" s="21">
        <f>N5</f>
        <v>10308.542290953601</v>
      </c>
      <c r="O8" s="21">
        <f>O5</f>
        <v>423.66333333333336</v>
      </c>
      <c r="P8" s="21">
        <f>P5</f>
        <v>2135.4666666666667</v>
      </c>
    </row>
    <row r="9" spans="1:16">
      <c r="B9" s="19"/>
      <c r="C9" s="19"/>
      <c r="D9" s="253"/>
      <c r="E9" s="19"/>
      <c r="F9" s="19"/>
      <c r="G9" s="19"/>
      <c r="H9" s="19"/>
      <c r="I9" s="19"/>
      <c r="J9" s="19"/>
      <c r="K9" s="19"/>
      <c r="L9" s="19"/>
      <c r="M9" s="19"/>
      <c r="N9" s="19"/>
      <c r="O9" s="19"/>
      <c r="P9" s="19"/>
    </row>
    <row r="10" spans="1:16">
      <c r="A10" s="24" t="s">
        <v>207</v>
      </c>
      <c r="B10" s="25">
        <f ca="1">'EF ele_warmte'!B12</f>
        <v>0.1833698147490232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4729.7782001116911</v>
      </c>
      <c r="C12" s="23">
        <f ca="1">C10*C8</f>
        <v>0</v>
      </c>
      <c r="D12" s="23">
        <f>D8*D10</f>
        <v>9044.3434483138008</v>
      </c>
      <c r="E12" s="23">
        <f>E10*E8</f>
        <v>464.44988151346445</v>
      </c>
      <c r="F12" s="23">
        <f>F10*F8</f>
        <v>12662.606622707544</v>
      </c>
      <c r="G12" s="23"/>
      <c r="H12" s="23"/>
      <c r="I12" s="23"/>
      <c r="J12" s="23">
        <f>J10*J8</f>
        <v>86.278741571191915</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6683</v>
      </c>
      <c r="C26" s="36"/>
      <c r="D26" s="224"/>
    </row>
    <row r="27" spans="1:5" s="15" customFormat="1">
      <c r="A27" s="226" t="s">
        <v>736</v>
      </c>
      <c r="B27" s="37">
        <f>SUM(HH_hh_gas_aantal,HH_rest_gas_aantal)</f>
        <v>3303</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3137.85</v>
      </c>
      <c r="C31" s="34" t="s">
        <v>104</v>
      </c>
      <c r="D31" s="170"/>
    </row>
    <row r="32" spans="1:5">
      <c r="A32" s="167" t="s">
        <v>72</v>
      </c>
      <c r="B32" s="33">
        <f>IF((B21*($B$26-($B$27-0.05*$B$27)-$B$60))&lt;0,0,B21*($B$26-($B$27-0.05*$B$27)-$B$60))</f>
        <v>37.808707763471055</v>
      </c>
      <c r="C32" s="34" t="s">
        <v>104</v>
      </c>
      <c r="D32" s="170"/>
    </row>
    <row r="33" spans="1:6">
      <c r="A33" s="167" t="s">
        <v>73</v>
      </c>
      <c r="B33" s="33">
        <f>IF((B22*($B$26-($B$27-0.05*$B$27)-$B$60))&lt;0,0,B22*($B$26-($B$27-0.05*$B$27)-$B$60))</f>
        <v>786.07478499398826</v>
      </c>
      <c r="C33" s="34" t="s">
        <v>104</v>
      </c>
      <c r="D33" s="170"/>
    </row>
    <row r="34" spans="1:6">
      <c r="A34" s="167" t="s">
        <v>74</v>
      </c>
      <c r="B34" s="33">
        <f>IF((B24*($B$26-($B$27-0.05*$B$27)-$B$60))&lt;0,0,B24*($B$26-($B$27-0.05*$B$27)-$B$60))</f>
        <v>306.80229372728303</v>
      </c>
      <c r="C34" s="33">
        <f>B26*C24</f>
        <v>1183.7239608140662</v>
      </c>
      <c r="D34" s="229"/>
    </row>
    <row r="35" spans="1:6">
      <c r="A35" s="167" t="s">
        <v>76</v>
      </c>
      <c r="B35" s="33">
        <f>IF((B19*($B$26-($B$27-0.05*$B$27)-$B$60))&lt;0,0,B19*($B$26-($B$27-0.05*$B$27)-$B$60))</f>
        <v>28.617114838374601</v>
      </c>
      <c r="C35" s="33">
        <f>B35/2</f>
        <v>14.3085574191873</v>
      </c>
      <c r="D35" s="229"/>
    </row>
    <row r="36" spans="1:6">
      <c r="A36" s="167" t="s">
        <v>77</v>
      </c>
      <c r="B36" s="33">
        <f>IF((B18*($B$26-($B$27-0.05*$B$27)-$B$60))&lt;0,0,B18*($B$26-($B$27-0.05*$B$27)-$B$60))</f>
        <v>2273.847098676883</v>
      </c>
      <c r="C36" s="34" t="s">
        <v>104</v>
      </c>
      <c r="D36" s="170"/>
    </row>
    <row r="37" spans="1:6">
      <c r="A37" s="167" t="s">
        <v>78</v>
      </c>
      <c r="B37" s="33">
        <f>B60</f>
        <v>112</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271</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112</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18792.022665</v>
      </c>
      <c r="C5" s="17">
        <f>IF(ISERROR('Eigen informatie GS &amp; warmtenet'!B58),0,'Eigen informatie GS &amp; warmtenet'!B58)</f>
        <v>0</v>
      </c>
      <c r="D5" s="30">
        <f>SUM(D6:D12)</f>
        <v>15385.590262526001</v>
      </c>
      <c r="E5" s="17">
        <f>SUM(E6:E12)</f>
        <v>324.35462592428001</v>
      </c>
      <c r="F5" s="17">
        <f>SUM(F6:F12)</f>
        <v>3483.0547793949527</v>
      </c>
      <c r="G5" s="18"/>
      <c r="H5" s="17"/>
      <c r="I5" s="17"/>
      <c r="J5" s="17">
        <f>SUM(J6:J12)</f>
        <v>3.1479047687614864E-2</v>
      </c>
      <c r="K5" s="17"/>
      <c r="L5" s="17"/>
      <c r="M5" s="17"/>
      <c r="N5" s="17">
        <f>SUM(N6:N12)</f>
        <v>1264.0430530131555</v>
      </c>
      <c r="O5" s="17">
        <f>B38*B39*B40</f>
        <v>6.2533333333333339</v>
      </c>
      <c r="P5" s="17">
        <f>B46*B47*B48/1000-B46*B47*B48/1000/B49</f>
        <v>19.066666666666666</v>
      </c>
      <c r="R5" s="32"/>
    </row>
    <row r="6" spans="1:18">
      <c r="A6" s="32" t="s">
        <v>53</v>
      </c>
      <c r="B6" s="37">
        <f>B26</f>
        <v>3892.0081230000001</v>
      </c>
      <c r="C6" s="33"/>
      <c r="D6" s="37">
        <f>IF(ISERROR(TER_kantoor_gas_kWh/1000),0,TER_kantoor_gas_kWh/1000)*0.902</f>
        <v>4664.1368006419998</v>
      </c>
      <c r="E6" s="33">
        <f>$C$26*'E Balans VL '!I12/100/3.6*1000000</f>
        <v>-3.1958452764732642E-4</v>
      </c>
      <c r="F6" s="33">
        <f>$C$26*('E Balans VL '!L12+'E Balans VL '!N12)/100/3.6*1000000</f>
        <v>493.23956239573329</v>
      </c>
      <c r="G6" s="34"/>
      <c r="H6" s="33"/>
      <c r="I6" s="33"/>
      <c r="J6" s="33">
        <f>$C$26*('E Balans VL '!D12+'E Balans VL '!E12)/100/3.6*1000000</f>
        <v>0</v>
      </c>
      <c r="K6" s="33"/>
      <c r="L6" s="33"/>
      <c r="M6" s="33"/>
      <c r="N6" s="33">
        <f>$C$26*'E Balans VL '!Y12/100/3.6*1000000</f>
        <v>4.773778172187475</v>
      </c>
      <c r="O6" s="33"/>
      <c r="P6" s="33"/>
      <c r="R6" s="32"/>
    </row>
    <row r="7" spans="1:18">
      <c r="A7" s="32" t="s">
        <v>52</v>
      </c>
      <c r="B7" s="37">
        <f t="shared" ref="B7:B12" si="0">B27</f>
        <v>1766.8434130000001</v>
      </c>
      <c r="C7" s="33"/>
      <c r="D7" s="37">
        <f>IF(ISERROR(TER_horeca_gas_kWh/1000),0,TER_horeca_gas_kWh/1000)*0.902</f>
        <v>1598.2014840000002</v>
      </c>
      <c r="E7" s="33">
        <f>$C$27*'E Balans VL '!I9/100/3.6*1000000</f>
        <v>20.337232974175738</v>
      </c>
      <c r="F7" s="33">
        <f>$C$27*('E Balans VL '!L9+'E Balans VL '!N9)/100/3.6*1000000</f>
        <v>227.80590027688609</v>
      </c>
      <c r="G7" s="34"/>
      <c r="H7" s="33"/>
      <c r="I7" s="33"/>
      <c r="J7" s="33">
        <f>$C$27*('E Balans VL '!D9+'E Balans VL '!E9)/100/3.6*1000000</f>
        <v>0</v>
      </c>
      <c r="K7" s="33"/>
      <c r="L7" s="33"/>
      <c r="M7" s="33"/>
      <c r="N7" s="33">
        <f>$C$27*'E Balans VL '!Y9/100/3.6*1000000</f>
        <v>18.648627333466106</v>
      </c>
      <c r="O7" s="33"/>
      <c r="P7" s="33"/>
      <c r="R7" s="32"/>
    </row>
    <row r="8" spans="1:18">
      <c r="A8" s="6" t="s">
        <v>51</v>
      </c>
      <c r="B8" s="37">
        <f t="shared" si="0"/>
        <v>9159.4388019999988</v>
      </c>
      <c r="C8" s="33"/>
      <c r="D8" s="37">
        <f>IF(ISERROR(TER_handel_gas_kWh/1000),0,TER_handel_gas_kWh/1000)*0.902</f>
        <v>2779.0629020000001</v>
      </c>
      <c r="E8" s="33">
        <f>$C$28*'E Balans VL '!I13/100/3.6*1000000</f>
        <v>258.42811581013194</v>
      </c>
      <c r="F8" s="33">
        <f>$C$28*('E Balans VL '!L13+'E Balans VL '!N13)/100/3.6*1000000</f>
        <v>921.24317608819194</v>
      </c>
      <c r="G8" s="34"/>
      <c r="H8" s="33"/>
      <c r="I8" s="33"/>
      <c r="J8" s="33">
        <f>$C$28*('E Balans VL '!D13+'E Balans VL '!E13)/100/3.6*1000000</f>
        <v>0</v>
      </c>
      <c r="K8" s="33"/>
      <c r="L8" s="33"/>
      <c r="M8" s="33"/>
      <c r="N8" s="33">
        <f>$C$28*'E Balans VL '!Y13/100/3.6*1000000</f>
        <v>12.6435793055412</v>
      </c>
      <c r="O8" s="33"/>
      <c r="P8" s="33"/>
      <c r="R8" s="32"/>
    </row>
    <row r="9" spans="1:18">
      <c r="A9" s="32" t="s">
        <v>50</v>
      </c>
      <c r="B9" s="37">
        <f t="shared" si="0"/>
        <v>981.62200600000006</v>
      </c>
      <c r="C9" s="33"/>
      <c r="D9" s="37">
        <f>IF(ISERROR(TER_gezond_gas_kWh/1000),0,TER_gezond_gas_kWh/1000)*0.902</f>
        <v>2762.3380820420002</v>
      </c>
      <c r="E9" s="33">
        <f>$C$29*'E Balans VL '!I10/100/3.6*1000000</f>
        <v>1.9609785598470548</v>
      </c>
      <c r="F9" s="33">
        <f>$C$29*('E Balans VL '!L10+'E Balans VL '!N10)/100/3.6*1000000</f>
        <v>86.009778105778068</v>
      </c>
      <c r="G9" s="34"/>
      <c r="H9" s="33"/>
      <c r="I9" s="33"/>
      <c r="J9" s="33">
        <f>$C$29*('E Balans VL '!D10+'E Balans VL '!E10)/100/3.6*1000000</f>
        <v>0</v>
      </c>
      <c r="K9" s="33"/>
      <c r="L9" s="33"/>
      <c r="M9" s="33"/>
      <c r="N9" s="33">
        <f>$C$29*'E Balans VL '!Y10/100/3.6*1000000</f>
        <v>14.848443846332755</v>
      </c>
      <c r="O9" s="33"/>
      <c r="P9" s="33"/>
      <c r="R9" s="32"/>
    </row>
    <row r="10" spans="1:18">
      <c r="A10" s="32" t="s">
        <v>49</v>
      </c>
      <c r="B10" s="37">
        <f t="shared" si="0"/>
        <v>2867.0975800000001</v>
      </c>
      <c r="C10" s="33"/>
      <c r="D10" s="37">
        <f>IF(ISERROR(TER_ander_gas_kWh/1000),0,TER_ander_gas_kWh/1000)*0.902</f>
        <v>3032.0450118419999</v>
      </c>
      <c r="E10" s="33">
        <f>$C$30*'E Balans VL '!I14/100/3.6*1000000</f>
        <v>40.390486294739922</v>
      </c>
      <c r="F10" s="33">
        <f>$C$30*('E Balans VL '!L14+'E Balans VL '!N14)/100/3.6*1000000</f>
        <v>1739.2181506836546</v>
      </c>
      <c r="G10" s="34"/>
      <c r="H10" s="33"/>
      <c r="I10" s="33"/>
      <c r="J10" s="33">
        <f>$C$30*('E Balans VL '!D14+'E Balans VL '!E14)/100/3.6*1000000</f>
        <v>3.1475219791379148E-2</v>
      </c>
      <c r="K10" s="33"/>
      <c r="L10" s="33"/>
      <c r="M10" s="33"/>
      <c r="N10" s="33">
        <f>$C$30*'E Balans VL '!Y14/100/3.6*1000000</f>
        <v>1212.5851523442323</v>
      </c>
      <c r="O10" s="33"/>
      <c r="P10" s="33"/>
      <c r="R10" s="32"/>
    </row>
    <row r="11" spans="1:18">
      <c r="A11" s="32" t="s">
        <v>54</v>
      </c>
      <c r="B11" s="37">
        <f t="shared" si="0"/>
        <v>123.132741</v>
      </c>
      <c r="C11" s="33"/>
      <c r="D11" s="37">
        <f>IF(ISERROR(TER_onderwijs_gas_kWh/1000),0,TER_onderwijs_gas_kWh/1000)*0.902</f>
        <v>549.80598200000009</v>
      </c>
      <c r="E11" s="33">
        <f>$C$31*'E Balans VL '!I11/100/3.6*1000000</f>
        <v>3.2138250639314876</v>
      </c>
      <c r="F11" s="33">
        <f>$C$31*('E Balans VL '!L11+'E Balans VL '!N11)/100/3.6*1000000</f>
        <v>15.152518472742541</v>
      </c>
      <c r="G11" s="34"/>
      <c r="H11" s="33"/>
      <c r="I11" s="33"/>
      <c r="J11" s="33">
        <f>$C$31*('E Balans VL '!D11+'E Balans VL '!E11)/100/3.6*1000000</f>
        <v>0</v>
      </c>
      <c r="K11" s="33"/>
      <c r="L11" s="33"/>
      <c r="M11" s="33"/>
      <c r="N11" s="33">
        <f>$C$31*'E Balans VL '!Y11/100/3.6*1000000</f>
        <v>0.38992506332872207</v>
      </c>
      <c r="O11" s="33"/>
      <c r="P11" s="33"/>
      <c r="R11" s="32"/>
    </row>
    <row r="12" spans="1:18">
      <c r="A12" s="32" t="s">
        <v>248</v>
      </c>
      <c r="B12" s="37">
        <f t="shared" si="0"/>
        <v>1.88</v>
      </c>
      <c r="C12" s="33"/>
      <c r="D12" s="37">
        <f>IF(ISERROR(TER_rest_gas_kWh/1000),0,TER_rest_gas_kWh/1000)*0.902</f>
        <v>0</v>
      </c>
      <c r="E12" s="33">
        <f>$C$32*'E Balans VL '!I8/100/3.6*1000000</f>
        <v>2.4306805981554824E-2</v>
      </c>
      <c r="F12" s="33">
        <f>$C$32*('E Balans VL '!L8+'E Balans VL '!N8)/100/3.6*1000000</f>
        <v>0.38569337196628245</v>
      </c>
      <c r="G12" s="34"/>
      <c r="H12" s="33"/>
      <c r="I12" s="33"/>
      <c r="J12" s="33">
        <f>$C$32*('E Balans VL '!D8+'E Balans VL '!E8)/100/3.6*1000000</f>
        <v>3.8278962357155991E-6</v>
      </c>
      <c r="K12" s="33"/>
      <c r="L12" s="33"/>
      <c r="M12" s="33"/>
      <c r="N12" s="33">
        <f>$C$32*'E Balans VL '!Y8/100/3.6*1000000</f>
        <v>0.15354694806688235</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18792.022665</v>
      </c>
      <c r="C16" s="21">
        <f t="shared" ca="1" si="1"/>
        <v>0</v>
      </c>
      <c r="D16" s="21">
        <f t="shared" ca="1" si="1"/>
        <v>15385.590262526001</v>
      </c>
      <c r="E16" s="21">
        <f t="shared" si="1"/>
        <v>324.35462592428001</v>
      </c>
      <c r="F16" s="21">
        <f t="shared" ca="1" si="1"/>
        <v>3483.0547793949527</v>
      </c>
      <c r="G16" s="21">
        <f t="shared" si="1"/>
        <v>0</v>
      </c>
      <c r="H16" s="21">
        <f t="shared" si="1"/>
        <v>0</v>
      </c>
      <c r="I16" s="21">
        <f t="shared" si="1"/>
        <v>0</v>
      </c>
      <c r="J16" s="21">
        <f t="shared" si="1"/>
        <v>3.1479047687614864E-2</v>
      </c>
      <c r="K16" s="21">
        <f t="shared" si="1"/>
        <v>0</v>
      </c>
      <c r="L16" s="21">
        <f t="shared" ca="1" si="1"/>
        <v>0</v>
      </c>
      <c r="M16" s="21">
        <f t="shared" si="1"/>
        <v>0</v>
      </c>
      <c r="N16" s="21">
        <f t="shared" ca="1" si="1"/>
        <v>1264.0430530131555</v>
      </c>
      <c r="O16" s="21">
        <f>O5</f>
        <v>6.2533333333333339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0.1833698147490232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3445.8897148404953</v>
      </c>
      <c r="C20" s="23">
        <f t="shared" ref="C20:P20" ca="1" si="2">C16*C18</f>
        <v>0</v>
      </c>
      <c r="D20" s="23">
        <f t="shared" ca="1" si="2"/>
        <v>3107.8892330302524</v>
      </c>
      <c r="E20" s="23">
        <f t="shared" si="2"/>
        <v>73.628500084811563</v>
      </c>
      <c r="F20" s="23">
        <f t="shared" ca="1" si="2"/>
        <v>929.97562609845238</v>
      </c>
      <c r="G20" s="23">
        <f t="shared" si="2"/>
        <v>0</v>
      </c>
      <c r="H20" s="23">
        <f t="shared" si="2"/>
        <v>0</v>
      </c>
      <c r="I20" s="23">
        <f t="shared" si="2"/>
        <v>0</v>
      </c>
      <c r="J20" s="23">
        <f t="shared" si="2"/>
        <v>1.1143582881415662E-2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3892.0081230000001</v>
      </c>
      <c r="C26" s="39">
        <f>IF(ISERROR(B26*3.6/1000000/'E Balans VL '!Z12*100),0,B26*3.6/1000000/'E Balans VL '!Z12*100)</f>
        <v>0.10551568499922613</v>
      </c>
      <c r="D26" s="232" t="s">
        <v>700</v>
      </c>
      <c r="F26" s="6"/>
    </row>
    <row r="27" spans="1:18">
      <c r="A27" s="227" t="s">
        <v>52</v>
      </c>
      <c r="B27" s="33">
        <f>IF(ISERROR(TER_horeca_ele_kWh/1000),0,TER_horeca_ele_kWh/1000)</f>
        <v>1766.8434130000001</v>
      </c>
      <c r="C27" s="39">
        <f>IF(ISERROR(B27*3.6/1000000/'E Balans VL '!Z9*100),0,B27*3.6/1000000/'E Balans VL '!Z9*100)</f>
        <v>0.13666719137972569</v>
      </c>
      <c r="D27" s="232" t="s">
        <v>700</v>
      </c>
      <c r="F27" s="6"/>
    </row>
    <row r="28" spans="1:18">
      <c r="A28" s="167" t="s">
        <v>51</v>
      </c>
      <c r="B28" s="33">
        <f>IF(ISERROR(TER_handel_ele_kWh/1000),0,TER_handel_ele_kWh/1000)</f>
        <v>9159.4388019999988</v>
      </c>
      <c r="C28" s="39">
        <f>IF(ISERROR(B28*3.6/1000000/'E Balans VL '!Z13*100),0,B28*3.6/1000000/'E Balans VL '!Z13*100)</f>
        <v>0.26491465926862801</v>
      </c>
      <c r="D28" s="232" t="s">
        <v>700</v>
      </c>
      <c r="F28" s="6"/>
    </row>
    <row r="29" spans="1:18">
      <c r="A29" s="227" t="s">
        <v>50</v>
      </c>
      <c r="B29" s="33">
        <f>IF(ISERROR(TER_gezond_ele_kWh/1000),0,TER_gezond_ele_kWh/1000)</f>
        <v>981.62200600000006</v>
      </c>
      <c r="C29" s="39">
        <f>IF(ISERROR(B29*3.6/1000000/'E Balans VL '!Z10*100),0,B29*3.6/1000000/'E Balans VL '!Z10*100)</f>
        <v>0.10109743986511273</v>
      </c>
      <c r="D29" s="232" t="s">
        <v>700</v>
      </c>
      <c r="F29" s="6"/>
    </row>
    <row r="30" spans="1:18">
      <c r="A30" s="227" t="s">
        <v>49</v>
      </c>
      <c r="B30" s="33">
        <f>IF(ISERROR(TER_ander_ele_kWh/1000),0,TER_ander_ele_kWh/1000)</f>
        <v>2867.0975800000001</v>
      </c>
      <c r="C30" s="39">
        <f>IF(ISERROR(B30*3.6/1000000/'E Balans VL '!Z14*100),0,B30*3.6/1000000/'E Balans VL '!Z14*100)</f>
        <v>0.12890874999882243</v>
      </c>
      <c r="D30" s="232" t="s">
        <v>700</v>
      </c>
      <c r="F30" s="6"/>
    </row>
    <row r="31" spans="1:18">
      <c r="A31" s="227" t="s">
        <v>54</v>
      </c>
      <c r="B31" s="33">
        <f>IF(ISERROR(TER_onderwijs_ele_kWh/1000),0,TER_onderwijs_ele_kWh/1000)</f>
        <v>123.132741</v>
      </c>
      <c r="C31" s="39">
        <f>IF(ISERROR(B31*3.6/1000000/'E Balans VL '!Z11*100),0,B31*3.6/1000000/'E Balans VL '!Z11*100)</f>
        <v>3.4411528900536462E-2</v>
      </c>
      <c r="D31" s="232" t="s">
        <v>700</v>
      </c>
    </row>
    <row r="32" spans="1:18">
      <c r="A32" s="227" t="s">
        <v>248</v>
      </c>
      <c r="B32" s="33">
        <f>IF(ISERROR(TER_rest_ele_kWh/1000),0,TER_rest_ele_kWh/1000)</f>
        <v>1.88</v>
      </c>
      <c r="C32" s="39">
        <f>IF(ISERROR(B32*3.6/1000000/'E Balans VL '!Z8*100),0,B32*3.6/1000000/'E Balans VL '!Z8*100)</f>
        <v>1.5677390726480266E-5</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4</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2179.3928810000002</v>
      </c>
      <c r="C5" s="17">
        <f>IF(ISERROR('Eigen informatie GS &amp; warmtenet'!B59),0,'Eigen informatie GS &amp; warmtenet'!B59)</f>
        <v>0</v>
      </c>
      <c r="D5" s="30">
        <f>SUM(D6:D15)</f>
        <v>1614.7737496</v>
      </c>
      <c r="E5" s="17">
        <f>SUM(E6:E15)</f>
        <v>16.366525319419594</v>
      </c>
      <c r="F5" s="17">
        <f>SUM(F6:F15)</f>
        <v>792.24509775311742</v>
      </c>
      <c r="G5" s="18"/>
      <c r="H5" s="17"/>
      <c r="I5" s="17"/>
      <c r="J5" s="17">
        <f>SUM(J6:J15)</f>
        <v>0.53031894261742463</v>
      </c>
      <c r="K5" s="17"/>
      <c r="L5" s="17"/>
      <c r="M5" s="17"/>
      <c r="N5" s="17">
        <f>SUM(N6:N15)</f>
        <v>108.707865638786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224.03100000000001</v>
      </c>
      <c r="C8" s="33"/>
      <c r="D8" s="37">
        <f>IF( ISERROR(IND_metaal_Gas_kWH/1000),0,IND_metaal_Gas_kWH/1000)*0.902</f>
        <v>92.907803999999999</v>
      </c>
      <c r="E8" s="33">
        <f>C30*'E Balans VL '!I18/100/3.6*1000000</f>
        <v>2.0331499643781119</v>
      </c>
      <c r="F8" s="33">
        <f>C30*'E Balans VL '!L18/100/3.6*1000000+C30*'E Balans VL '!N18/100/3.6*1000000</f>
        <v>20.620280055740636</v>
      </c>
      <c r="G8" s="34"/>
      <c r="H8" s="33"/>
      <c r="I8" s="33"/>
      <c r="J8" s="40">
        <f>C30*'E Balans VL '!D18/100/3.6*1000000+C30*'E Balans VL '!E18/100/3.6*1000000</f>
        <v>0</v>
      </c>
      <c r="K8" s="33"/>
      <c r="L8" s="33"/>
      <c r="M8" s="33"/>
      <c r="N8" s="33">
        <f>C30*'E Balans VL '!Y18/100/3.6*1000000</f>
        <v>3.270676178478316</v>
      </c>
      <c r="O8" s="33"/>
      <c r="P8" s="33"/>
      <c r="R8" s="32"/>
    </row>
    <row r="9" spans="1:18">
      <c r="A9" s="6" t="s">
        <v>32</v>
      </c>
      <c r="B9" s="37">
        <f t="shared" si="0"/>
        <v>1007.799881</v>
      </c>
      <c r="C9" s="33"/>
      <c r="D9" s="37">
        <f>IF( ISERROR(IND_andere_gas_kWh/1000),0,IND_andere_gas_kWh/1000)*0.902</f>
        <v>1207.5460055999999</v>
      </c>
      <c r="E9" s="33">
        <f>C31*'E Balans VL '!I19/100/3.6*1000000</f>
        <v>5.849498268350648</v>
      </c>
      <c r="F9" s="33">
        <f>C31*'E Balans VL '!L19/100/3.6*1000000+C31*'E Balans VL '!N19/100/3.6*1000000</f>
        <v>664.63270519175524</v>
      </c>
      <c r="G9" s="34"/>
      <c r="H9" s="33"/>
      <c r="I9" s="33"/>
      <c r="J9" s="40">
        <f>C31*'E Balans VL '!D19/100/3.6*1000000+C31*'E Balans VL '!E19/100/3.6*1000000</f>
        <v>0</v>
      </c>
      <c r="K9" s="33"/>
      <c r="L9" s="33"/>
      <c r="M9" s="33"/>
      <c r="N9" s="33">
        <f>C31*'E Balans VL '!Y19/100/3.6*1000000</f>
        <v>46.672088527917076</v>
      </c>
      <c r="O9" s="33"/>
      <c r="P9" s="33"/>
      <c r="R9" s="32"/>
    </row>
    <row r="10" spans="1:18">
      <c r="A10" s="6" t="s">
        <v>40</v>
      </c>
      <c r="B10" s="37">
        <f t="shared" si="0"/>
        <v>471.26799999999997</v>
      </c>
      <c r="C10" s="33"/>
      <c r="D10" s="37">
        <f>IF( ISERROR(IND_voed_gas_kWh/1000),0,IND_voed_gas_kWh/1000)*0.902</f>
        <v>261.38336399999997</v>
      </c>
      <c r="E10" s="33">
        <f>C32*'E Balans VL '!I20/100/3.6*1000000</f>
        <v>0.99872681862910295</v>
      </c>
      <c r="F10" s="33">
        <f>C32*'E Balans VL '!L20/100/3.6*1000000+C32*'E Balans VL '!N20/100/3.6*1000000</f>
        <v>29.951028131127615</v>
      </c>
      <c r="G10" s="34"/>
      <c r="H10" s="33"/>
      <c r="I10" s="33"/>
      <c r="J10" s="40">
        <f>C32*'E Balans VL '!D20/100/3.6*1000000+C32*'E Balans VL '!E20/100/3.6*1000000</f>
        <v>0</v>
      </c>
      <c r="K10" s="33"/>
      <c r="L10" s="33"/>
      <c r="M10" s="33"/>
      <c r="N10" s="33">
        <f>C32*'E Balans VL '!Y20/100/3.6*1000000</f>
        <v>13.661537349523163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237.67099999999999</v>
      </c>
      <c r="C12" s="33"/>
      <c r="D12" s="37">
        <f>IF( ISERROR(IND_min_gas_kWh/1000),0,IND_min_gas_kWh/1000)*0.902</f>
        <v>0</v>
      </c>
      <c r="E12" s="33">
        <f>C34*'E Balans VL '!I22/100/3.6*1000000</f>
        <v>5.7927582853819644</v>
      </c>
      <c r="F12" s="33">
        <f>C34*'E Balans VL '!L22/100/3.6*1000000+C34*'E Balans VL '!N22/100/3.6*1000000</f>
        <v>67.044788535080542</v>
      </c>
      <c r="G12" s="34"/>
      <c r="H12" s="33"/>
      <c r="I12" s="33"/>
      <c r="J12" s="40">
        <f>C34*'E Balans VL '!D22/100/3.6*1000000+C34*'E Balans VL '!E22/100/3.6*1000000</f>
        <v>0.4063368742779207</v>
      </c>
      <c r="K12" s="33"/>
      <c r="L12" s="33"/>
      <c r="M12" s="33"/>
      <c r="N12" s="33">
        <f>C34*'E Balans VL '!Y22/100/3.6*1000000</f>
        <v>54.13116679723359</v>
      </c>
      <c r="O12" s="33"/>
      <c r="P12" s="33"/>
      <c r="R12" s="32"/>
    </row>
    <row r="13" spans="1:18">
      <c r="A13" s="6" t="s">
        <v>38</v>
      </c>
      <c r="B13" s="37">
        <f t="shared" si="0"/>
        <v>213.15600000000001</v>
      </c>
      <c r="C13" s="33"/>
      <c r="D13" s="37">
        <f>IF( ISERROR(IND_papier_gas_kWh/1000),0,IND_papier_gas_kWh/1000)*0.902</f>
        <v>0</v>
      </c>
      <c r="E13" s="33">
        <f>C35*'E Balans VL '!I23/100/3.6*1000000</f>
        <v>0.31463192557815944</v>
      </c>
      <c r="F13" s="33">
        <f>C35*'E Balans VL '!L23/100/3.6*1000000+C35*'E Balans VL '!N23/100/3.6*1000000</f>
        <v>5.5200969034315994</v>
      </c>
      <c r="G13" s="34"/>
      <c r="H13" s="33"/>
      <c r="I13" s="33"/>
      <c r="J13" s="40">
        <f>C35*'E Balans VL '!D23/100/3.6*1000000+C35*'E Balans VL '!E23/100/3.6*1000000</f>
        <v>3.4297833043489011E-2</v>
      </c>
      <c r="K13" s="33"/>
      <c r="L13" s="33"/>
      <c r="M13" s="33"/>
      <c r="N13" s="33">
        <f>C35*'E Balans VL '!Y23/100/3.6*1000000</f>
        <v>-9.6808992656656141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25.466999999999999</v>
      </c>
      <c r="C15" s="33"/>
      <c r="D15" s="37">
        <f>IF( ISERROR(IND_rest_gas_kWh/1000),0,IND_rest_gas_kWh/1000)*0.902</f>
        <v>52.936576000000002</v>
      </c>
      <c r="E15" s="33">
        <f>C37*'E Balans VL '!I15/100/3.6*1000000</f>
        <v>1.3777600571016044</v>
      </c>
      <c r="F15" s="33">
        <f>C37*'E Balans VL '!L15/100/3.6*1000000+C37*'E Balans VL '!N15/100/3.6*1000000</f>
        <v>4.4761989359818095</v>
      </c>
      <c r="G15" s="34"/>
      <c r="H15" s="33"/>
      <c r="I15" s="33"/>
      <c r="J15" s="40">
        <f>C37*'E Balans VL '!D15/100/3.6*1000000+C37*'E Balans VL '!E15/100/3.6*1000000</f>
        <v>8.9684235296014936E-2</v>
      </c>
      <c r="K15" s="33"/>
      <c r="L15" s="33"/>
      <c r="M15" s="33"/>
      <c r="N15" s="33">
        <f>C37*'E Balans VL '!Y15/100/3.6*1000000</f>
        <v>0.65329605129946244</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2179.3928810000002</v>
      </c>
      <c r="C18" s="21">
        <f>C5+C16</f>
        <v>0</v>
      </c>
      <c r="D18" s="21">
        <f>MAX((D5+D16),0)</f>
        <v>1614.7737496</v>
      </c>
      <c r="E18" s="21">
        <f>MAX((E5+E16),0)</f>
        <v>16.366525319419594</v>
      </c>
      <c r="F18" s="21">
        <f>MAX((F5+F16),0)</f>
        <v>792.24509775311742</v>
      </c>
      <c r="G18" s="21"/>
      <c r="H18" s="21"/>
      <c r="I18" s="21"/>
      <c r="J18" s="21">
        <f>MAX((J5+J16),0)</f>
        <v>0.53031894261742463</v>
      </c>
      <c r="K18" s="21"/>
      <c r="L18" s="21">
        <f>MAX((L5+L16),0)</f>
        <v>0</v>
      </c>
      <c r="M18" s="21"/>
      <c r="N18" s="21">
        <f>MAX((N5+N16),0)</f>
        <v>108.707865638786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0.1833698147490232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399.63486885431001</v>
      </c>
      <c r="C22" s="23">
        <f ca="1">C18*C20</f>
        <v>0</v>
      </c>
      <c r="D22" s="23">
        <f>D18*D20</f>
        <v>326.18429741919999</v>
      </c>
      <c r="E22" s="23">
        <f>E18*E20</f>
        <v>3.7152012475082481</v>
      </c>
      <c r="F22" s="23">
        <f>F18*F20</f>
        <v>211.52944110008235</v>
      </c>
      <c r="G22" s="23"/>
      <c r="H22" s="23"/>
      <c r="I22" s="23"/>
      <c r="J22" s="23">
        <f>J18*J20</f>
        <v>0.18773290568656831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224.03100000000001</v>
      </c>
      <c r="C30" s="39">
        <f>IF(ISERROR(B30*3.6/1000000/'E Balans VL '!Z18*100),0,B30*3.6/1000000/'E Balans VL '!Z18*100)</f>
        <v>1.2992368370397467E-2</v>
      </c>
      <c r="D30" s="232" t="s">
        <v>700</v>
      </c>
    </row>
    <row r="31" spans="1:18">
      <c r="A31" s="6" t="s">
        <v>32</v>
      </c>
      <c r="B31" s="37">
        <f>IF( ISERROR(IND_ander_ele_kWh/1000),0,IND_ander_ele_kWh/1000)</f>
        <v>1007.799881</v>
      </c>
      <c r="C31" s="39">
        <f>IF(ISERROR(B31*3.6/1000000/'E Balans VL '!Z19*100),0,B31*3.6/1000000/'E Balans VL '!Z19*100)</f>
        <v>4.2089515464844053E-2</v>
      </c>
      <c r="D31" s="232" t="s">
        <v>700</v>
      </c>
    </row>
    <row r="32" spans="1:18">
      <c r="A32" s="167" t="s">
        <v>40</v>
      </c>
      <c r="B32" s="37">
        <f>IF( ISERROR(IND_voed_ele_kWh/1000),0,IND_voed_ele_kWh/1000)</f>
        <v>471.26799999999997</v>
      </c>
      <c r="C32" s="39">
        <f>IF(ISERROR(B32*3.6/1000000/'E Balans VL '!Z20*100),0,B32*3.6/1000000/'E Balans VL '!Z20*100)</f>
        <v>1.4616876511782071E-2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237.67099999999999</v>
      </c>
      <c r="C34" s="39">
        <f>IF(ISERROR(B34*3.6/1000000/'E Balans VL '!Z22*100),0,B34*3.6/1000000/'E Balans VL '!Z22*100)</f>
        <v>4.4475912052311349E-2</v>
      </c>
      <c r="D34" s="232" t="s">
        <v>700</v>
      </c>
    </row>
    <row r="35" spans="1:5">
      <c r="A35" s="167" t="s">
        <v>38</v>
      </c>
      <c r="B35" s="37">
        <f>IF( ISERROR(IND_papier_ele_kWh/1000),0,IND_papier_ele_kWh/1000)</f>
        <v>213.15600000000001</v>
      </c>
      <c r="C35" s="39">
        <f>IF(ISERROR(B35*3.6/1000000/'E Balans VL '!Z22*100),0,B35*3.6/1000000/'E Balans VL '!Z22*100)</f>
        <v>3.988836462766799E-2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25.466999999999999</v>
      </c>
      <c r="C37" s="39">
        <f>IF(ISERROR(B37*3.6/1000000/'E Balans VL '!Z15*100),0,B37*3.6/1000000/'E Balans VL '!Z15*100)</f>
        <v>1.9856466013090185E-4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1182.3101729999998</v>
      </c>
      <c r="C5" s="17">
        <f>'Eigen informatie GS &amp; warmtenet'!B60</f>
        <v>0</v>
      </c>
      <c r="D5" s="30">
        <f>IF(ISERROR(SUM(LB_lb_gas_kWh,LB_rest_gas_kWh)/1000),0,SUM(LB_lb_gas_kWh,LB_rest_gas_kWh)/1000)*0.902</f>
        <v>2648.8571914420004</v>
      </c>
      <c r="E5" s="17">
        <f>B17*'E Balans VL '!I25/3.6*1000000/100</f>
        <v>38.369851680029484</v>
      </c>
      <c r="F5" s="17">
        <f>B17*('E Balans VL '!L25/3.6*1000000+'E Balans VL '!N25/3.6*1000000)/100</f>
        <v>4361.7716518733641</v>
      </c>
      <c r="G5" s="18"/>
      <c r="H5" s="17"/>
      <c r="I5" s="17"/>
      <c r="J5" s="17">
        <f>('E Balans VL '!D25+'E Balans VL '!E25)/3.6*1000000*landbouw!B17/100</f>
        <v>310.93535197909603</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1182.3101729999998</v>
      </c>
      <c r="C8" s="21">
        <f>C5+C6</f>
        <v>0</v>
      </c>
      <c r="D8" s="21">
        <f>MAX((D5+D6),0)</f>
        <v>2648.8571914420004</v>
      </c>
      <c r="E8" s="21">
        <f>MAX((E5+E6),0)</f>
        <v>38.369851680029484</v>
      </c>
      <c r="F8" s="21">
        <f>MAX((F5+F6),0)</f>
        <v>4361.7716518733641</v>
      </c>
      <c r="G8" s="21"/>
      <c r="H8" s="21"/>
      <c r="I8" s="21"/>
      <c r="J8" s="21">
        <f>MAX((J5+J6),0)</f>
        <v>310.93535197909603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0.1833698147490232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216.79999739889553</v>
      </c>
      <c r="C12" s="23">
        <f ca="1">C8*C10</f>
        <v>0</v>
      </c>
      <c r="D12" s="23">
        <f>D8*D10</f>
        <v>535.06915267128409</v>
      </c>
      <c r="E12" s="23">
        <f>E8*E10</f>
        <v>8.7099563313666923</v>
      </c>
      <c r="F12" s="23">
        <f>F8*F10</f>
        <v>1164.5930310501883</v>
      </c>
      <c r="G12" s="23"/>
      <c r="H12" s="23"/>
      <c r="I12" s="23"/>
      <c r="J12" s="23">
        <f>J8*J10</f>
        <v>110.07111460059998</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0.16777352293374309</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133.25822955818049</v>
      </c>
      <c r="C26" s="242">
        <f>B26*'GWP N2O_CH4'!B5</f>
        <v>2798.4228207217902</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61.053079984845787</v>
      </c>
      <c r="C27" s="242">
        <f>B27*'GWP N2O_CH4'!B5</f>
        <v>1282.1146796817616</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2.6769024520312033</v>
      </c>
      <c r="C28" s="242">
        <f>B28*'GWP N2O_CH4'!B4</f>
        <v>829.83976012967298</v>
      </c>
      <c r="D28" s="50"/>
    </row>
    <row r="29" spans="1:4">
      <c r="A29" s="41" t="s">
        <v>265</v>
      </c>
      <c r="B29" s="242">
        <f>B34*'ha_N2O bodem landbouw'!B4</f>
        <v>10.147067442072172</v>
      </c>
      <c r="C29" s="242">
        <f>B29*'GWP N2O_CH4'!B4</f>
        <v>3145.5909070423736</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2.3155258219308248E-3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4.0713926129252553E-4</v>
      </c>
      <c r="C5" s="427" t="s">
        <v>204</v>
      </c>
      <c r="D5" s="412">
        <f>SUM(D6:D11)</f>
        <v>6.1534837318685375E-4</v>
      </c>
      <c r="E5" s="412">
        <f>SUM(E6:E11)</f>
        <v>1.1845514003555719E-3</v>
      </c>
      <c r="F5" s="425" t="s">
        <v>204</v>
      </c>
      <c r="G5" s="412">
        <f>SUM(G6:G11)</f>
        <v>0.58736820586987948</v>
      </c>
      <c r="H5" s="412">
        <f>SUM(H6:H11)</f>
        <v>0.10896902930241543</v>
      </c>
      <c r="I5" s="427" t="s">
        <v>204</v>
      </c>
      <c r="J5" s="427" t="s">
        <v>204</v>
      </c>
      <c r="K5" s="427" t="s">
        <v>204</v>
      </c>
      <c r="L5" s="427" t="s">
        <v>204</v>
      </c>
      <c r="M5" s="412">
        <f>SUM(M6:M11)</f>
        <v>3.7525295511488019E-2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1.636982862236327E-4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2.7659469557369008E-4</v>
      </c>
      <c r="E6" s="818">
        <f>vkm_GW_PW*SUMIFS(TableVerdeelsleutelVkm[LPG],TableVerdeelsleutelVkm[Voertuigtype],"Lichte voertuigen")*SUMIFS(TableECFTransport[EnergieConsumptieFactor (PJ per km)],TableECFTransport[Index],CONCATENATE($A6,"_LPG_LPG"))</f>
        <v>4.8080470889670283E-4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0.14562299491318426</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4.7956323749100735E-2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9.9199648434576126E-3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1.4895490160829032E-6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4.7844673028653147E-2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9.5454507197051049E-7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2.7953561638556198E-3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2.0683481996390654E-5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4.4744268437546487E-5</v>
      </c>
      <c r="E8" s="415">
        <f>vkm_NGW_PW*SUMIFS(TableVerdeelsleutelVkm[LPG],TableVerdeelsleutelVkm[Voertuigtype],"Lichte voertuigen")*SUMIFS(TableECFTransport[EnergieConsumptieFactor (PJ per km)],TableECFTransport[Index],CONCATENATE($A8,"_LPG_LPG"))</f>
        <v>7.4252601858861014E-5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2.1003039706105019E-2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7.5787737792675277E-3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1.4502385076856229E-3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1.6108166914505003E-7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6.6385614499173693E-3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1.2459603104753829E-7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3.8786204265824233E-4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2.1476910447451933E-4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2.9400940917561713E-4</v>
      </c>
      <c r="E10" s="415">
        <f>vkm_SW_PW*SUMIFS(TableVerdeelsleutelVkm[LPG],TableVerdeelsleutelVkm[Voertuigtype],"Lichte voertuigen")*SUMIFS(TableECFTransport[EnergieConsumptieFactor (PJ per km)],TableECFTransport[Index],CONCATENATE($A10,"_LPG_LPG"))</f>
        <v>6.2949408960000794E-4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0.17236157453093209</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5.3428672330284845E-2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1.1643285174697511E-2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6.3377579127549193E-6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0.19389736224108756</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4.1803026593127415E-6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1.1328588779133411E-2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113.09423924792375</v>
      </c>
      <c r="C14" s="21"/>
      <c r="D14" s="21">
        <f t="shared" ref="D14:M14" si="0">((D5)*10^9/3600)+D12</f>
        <v>170.93010366301493</v>
      </c>
      <c r="E14" s="21">
        <f t="shared" si="0"/>
        <v>329.04205565432551</v>
      </c>
      <c r="F14" s="21"/>
      <c r="G14" s="21">
        <f t="shared" si="0"/>
        <v>163157.83496385542</v>
      </c>
      <c r="H14" s="21">
        <f t="shared" si="0"/>
        <v>30269.174806226507</v>
      </c>
      <c r="I14" s="21"/>
      <c r="J14" s="21"/>
      <c r="K14" s="21"/>
      <c r="L14" s="21"/>
      <c r="M14" s="21">
        <f t="shared" si="0"/>
        <v>10423.693197635561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0.1833698147490232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20.738069700073488</v>
      </c>
      <c r="C18" s="23"/>
      <c r="D18" s="23">
        <f t="shared" ref="D18:M18" si="1">D14*D16</f>
        <v>34.52788093992902</v>
      </c>
      <c r="E18" s="23">
        <f t="shared" si="1"/>
        <v>74.69254663353189</v>
      </c>
      <c r="F18" s="23"/>
      <c r="G18" s="23">
        <f t="shared" si="1"/>
        <v>43563.141935349398</v>
      </c>
      <c r="H18" s="23">
        <f t="shared" si="1"/>
        <v>7537.0245267504006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2.5557907711756989E-5</v>
      </c>
      <c r="C50" s="311">
        <f t="shared" ref="C50:P50" si="2">SUM(C51:C52)</f>
        <v>0</v>
      </c>
      <c r="D50" s="311">
        <f t="shared" si="2"/>
        <v>0</v>
      </c>
      <c r="E50" s="311">
        <f t="shared" si="2"/>
        <v>0</v>
      </c>
      <c r="F50" s="311">
        <f t="shared" si="2"/>
        <v>0</v>
      </c>
      <c r="G50" s="311">
        <f t="shared" si="2"/>
        <v>2.4009117887705991E-3</v>
      </c>
      <c r="H50" s="311">
        <f t="shared" si="2"/>
        <v>0</v>
      </c>
      <c r="I50" s="311">
        <f t="shared" si="2"/>
        <v>0</v>
      </c>
      <c r="J50" s="311">
        <f t="shared" si="2"/>
        <v>0</v>
      </c>
      <c r="K50" s="311">
        <f t="shared" si="2"/>
        <v>0</v>
      </c>
      <c r="L50" s="311">
        <f t="shared" si="2"/>
        <v>0</v>
      </c>
      <c r="M50" s="311">
        <f t="shared" si="2"/>
        <v>1.38261301214764E-4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2.5557907711756989E-5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2.4009117887705991E-3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1.38261301214764E-4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7.099418808821385</v>
      </c>
      <c r="C54" s="21">
        <f t="shared" ref="C54:P54" si="3">(C50)*10^9/3600</f>
        <v>0</v>
      </c>
      <c r="D54" s="21">
        <f t="shared" si="3"/>
        <v>0</v>
      </c>
      <c r="E54" s="21">
        <f t="shared" si="3"/>
        <v>0</v>
      </c>
      <c r="F54" s="21">
        <f t="shared" si="3"/>
        <v>0</v>
      </c>
      <c r="G54" s="21">
        <f t="shared" si="3"/>
        <v>666.91994132516652</v>
      </c>
      <c r="H54" s="21">
        <f t="shared" si="3"/>
        <v>0</v>
      </c>
      <c r="I54" s="21">
        <f t="shared" si="3"/>
        <v>0</v>
      </c>
      <c r="J54" s="21">
        <f t="shared" si="3"/>
        <v>0</v>
      </c>
      <c r="K54" s="21">
        <f t="shared" si="3"/>
        <v>0</v>
      </c>
      <c r="L54" s="21">
        <f t="shared" si="3"/>
        <v>0</v>
      </c>
      <c r="M54" s="21">
        <f t="shared" si="3"/>
        <v>38.405917004101113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0.1833698147490232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1.3018191117993083</v>
      </c>
      <c r="C58" s="23">
        <f t="shared" ref="C58:P58" ca="1" si="4">C54*C56</f>
        <v>0</v>
      </c>
      <c r="D58" s="23">
        <f t="shared" si="4"/>
        <v>0</v>
      </c>
      <c r="E58" s="23">
        <f t="shared" si="4"/>
        <v>0</v>
      </c>
      <c r="F58" s="23">
        <f t="shared" si="4"/>
        <v>0</v>
      </c>
      <c r="G58" s="23">
        <f t="shared" si="4"/>
        <v>178.06762433381948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8424.8118795402224</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8424.8118795402224</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19718.708665000002</v>
      </c>
      <c r="D10" s="931">
        <f ca="1">tertiair!C16</f>
        <v>0</v>
      </c>
      <c r="E10" s="931">
        <f ca="1">tertiair!D16</f>
        <v>15385.590262526001</v>
      </c>
      <c r="F10" s="931">
        <f>tertiair!E16</f>
        <v>324.35462592428001</v>
      </c>
      <c r="G10" s="931">
        <f ca="1">tertiair!F16</f>
        <v>3483.0547793949527</v>
      </c>
      <c r="H10" s="931">
        <f>tertiair!G16</f>
        <v>0</v>
      </c>
      <c r="I10" s="931">
        <f>tertiair!H16</f>
        <v>0</v>
      </c>
      <c r="J10" s="931">
        <f>tertiair!I16</f>
        <v>0</v>
      </c>
      <c r="K10" s="931">
        <f>tertiair!J16</f>
        <v>3.1479047687614864E-2</v>
      </c>
      <c r="L10" s="931">
        <f>tertiair!K16</f>
        <v>0</v>
      </c>
      <c r="M10" s="931">
        <f ca="1">tertiair!L16</f>
        <v>0</v>
      </c>
      <c r="N10" s="931">
        <f>tertiair!M16</f>
        <v>0</v>
      </c>
      <c r="O10" s="931">
        <f ca="1">tertiair!N16</f>
        <v>1264.0430530131555</v>
      </c>
      <c r="P10" s="931">
        <f>tertiair!O16</f>
        <v>6.2533333333333339</v>
      </c>
      <c r="Q10" s="932">
        <f>tertiair!P16</f>
        <v>19.066666666666666</v>
      </c>
      <c r="R10" s="628">
        <f ca="1">SUM(C10:Q10)</f>
        <v>40201.102864906075</v>
      </c>
      <c r="S10" s="67"/>
    </row>
    <row r="11" spans="1:19" s="437" customFormat="1">
      <c r="A11" s="736" t="s">
        <v>213</v>
      </c>
      <c r="B11" s="741"/>
      <c r="C11" s="931">
        <f>huishoudens!B8</f>
        <v>25793.65751438044</v>
      </c>
      <c r="D11" s="931">
        <f>huishoudens!C8</f>
        <v>0</v>
      </c>
      <c r="E11" s="931">
        <f>huishoudens!D8</f>
        <v>44773.977466900003</v>
      </c>
      <c r="F11" s="931">
        <f>huishoudens!E8</f>
        <v>2046.034720323632</v>
      </c>
      <c r="G11" s="931">
        <f>huishoudens!F8</f>
        <v>47425.492968942111</v>
      </c>
      <c r="H11" s="931">
        <f>huishoudens!G8</f>
        <v>0</v>
      </c>
      <c r="I11" s="931">
        <f>huishoudens!H8</f>
        <v>0</v>
      </c>
      <c r="J11" s="931">
        <f>huishoudens!I8</f>
        <v>0</v>
      </c>
      <c r="K11" s="931">
        <f>huishoudens!J8</f>
        <v>243.72525867568339</v>
      </c>
      <c r="L11" s="931">
        <f>huishoudens!K8</f>
        <v>0</v>
      </c>
      <c r="M11" s="931">
        <f>huishoudens!L8</f>
        <v>0</v>
      </c>
      <c r="N11" s="931">
        <f>huishoudens!M8</f>
        <v>0</v>
      </c>
      <c r="O11" s="931">
        <f>huishoudens!N8</f>
        <v>10308.542290953601</v>
      </c>
      <c r="P11" s="931">
        <f>huishoudens!O8</f>
        <v>423.66333333333336</v>
      </c>
      <c r="Q11" s="932">
        <f>huishoudens!P8</f>
        <v>2135.4666666666667</v>
      </c>
      <c r="R11" s="628">
        <f>SUM(C11:Q11)</f>
        <v>133150.56022017545</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2179.3928810000002</v>
      </c>
      <c r="D13" s="931">
        <f>industrie!C18</f>
        <v>0</v>
      </c>
      <c r="E13" s="931">
        <f>industrie!D18</f>
        <v>1614.7737496</v>
      </c>
      <c r="F13" s="931">
        <f>industrie!E18</f>
        <v>16.366525319419594</v>
      </c>
      <c r="G13" s="931">
        <f>industrie!F18</f>
        <v>792.24509775311742</v>
      </c>
      <c r="H13" s="931">
        <f>industrie!G18</f>
        <v>0</v>
      </c>
      <c r="I13" s="931">
        <f>industrie!H18</f>
        <v>0</v>
      </c>
      <c r="J13" s="931">
        <f>industrie!I18</f>
        <v>0</v>
      </c>
      <c r="K13" s="931">
        <f>industrie!J18</f>
        <v>0.53031894261742463</v>
      </c>
      <c r="L13" s="931">
        <f>industrie!K18</f>
        <v>0</v>
      </c>
      <c r="M13" s="931">
        <f>industrie!L18</f>
        <v>0</v>
      </c>
      <c r="N13" s="931">
        <f>industrie!M18</f>
        <v>0</v>
      </c>
      <c r="O13" s="931">
        <f>industrie!N18</f>
        <v>108.707865638786</v>
      </c>
      <c r="P13" s="931">
        <f>industrie!O18</f>
        <v>0</v>
      </c>
      <c r="Q13" s="932">
        <f>industrie!P18</f>
        <v>0</v>
      </c>
      <c r="R13" s="628">
        <f>SUM(C13:Q13)</f>
        <v>4712.0164382539406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47691.759060380442</v>
      </c>
      <c r="D16" s="660">
        <f t="shared" ref="D16:R16" ca="1" si="0">SUM(D9:D15)</f>
        <v>0</v>
      </c>
      <c r="E16" s="660">
        <f t="shared" ca="1" si="0"/>
        <v>61774.341479025999</v>
      </c>
      <c r="F16" s="660">
        <f t="shared" si="0"/>
        <v>2386.7558715673313</v>
      </c>
      <c r="G16" s="660">
        <f t="shared" ca="1" si="0"/>
        <v>51700.792846090182</v>
      </c>
      <c r="H16" s="660">
        <f t="shared" si="0"/>
        <v>0</v>
      </c>
      <c r="I16" s="660">
        <f t="shared" si="0"/>
        <v>0</v>
      </c>
      <c r="J16" s="660">
        <f t="shared" si="0"/>
        <v>0</v>
      </c>
      <c r="K16" s="660">
        <f t="shared" si="0"/>
        <v>244.28705666598842</v>
      </c>
      <c r="L16" s="660">
        <f t="shared" si="0"/>
        <v>0</v>
      </c>
      <c r="M16" s="660">
        <f t="shared" ca="1" si="0"/>
        <v>0</v>
      </c>
      <c r="N16" s="660">
        <f t="shared" si="0"/>
        <v>0</v>
      </c>
      <c r="O16" s="660">
        <f t="shared" ca="1" si="0"/>
        <v>11681.293209605543</v>
      </c>
      <c r="P16" s="660">
        <f t="shared" si="0"/>
        <v>429.91666666666669</v>
      </c>
      <c r="Q16" s="660">
        <f t="shared" si="0"/>
        <v>2154.5333333333333</v>
      </c>
      <c r="R16" s="660">
        <f t="shared" ca="1" si="0"/>
        <v>178063.67952333548</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7.099418808821385</v>
      </c>
      <c r="D19" s="931">
        <f>transport!C54</f>
        <v>0</v>
      </c>
      <c r="E19" s="931">
        <f>transport!D54</f>
        <v>0</v>
      </c>
      <c r="F19" s="931">
        <f>transport!E54</f>
        <v>0</v>
      </c>
      <c r="G19" s="931">
        <f>transport!F54</f>
        <v>0</v>
      </c>
      <c r="H19" s="931">
        <f>transport!G54</f>
        <v>666.91994132516652</v>
      </c>
      <c r="I19" s="931">
        <f>transport!H54</f>
        <v>0</v>
      </c>
      <c r="J19" s="931">
        <f>transport!I54</f>
        <v>0</v>
      </c>
      <c r="K19" s="931">
        <f>transport!J54</f>
        <v>0</v>
      </c>
      <c r="L19" s="931">
        <f>transport!K54</f>
        <v>0</v>
      </c>
      <c r="M19" s="931">
        <f>transport!L54</f>
        <v>0</v>
      </c>
      <c r="N19" s="931">
        <f>transport!M54</f>
        <v>38.405917004101113</v>
      </c>
      <c r="O19" s="931">
        <f>transport!N54</f>
        <v>0</v>
      </c>
      <c r="P19" s="931">
        <f>transport!O54</f>
        <v>0</v>
      </c>
      <c r="Q19" s="932">
        <f>transport!P54</f>
        <v>0</v>
      </c>
      <c r="R19" s="628">
        <f>SUM(C19:Q19)</f>
        <v>712.42527713808897</v>
      </c>
      <c r="S19" s="67"/>
    </row>
    <row r="20" spans="1:19" s="437" customFormat="1">
      <c r="A20" s="736" t="s">
        <v>295</v>
      </c>
      <c r="B20" s="741"/>
      <c r="C20" s="931">
        <f>transport!B14</f>
        <v>113.09423924792375</v>
      </c>
      <c r="D20" s="931">
        <f>transport!C14</f>
        <v>0</v>
      </c>
      <c r="E20" s="931">
        <f>transport!D14</f>
        <v>170.93010366301493</v>
      </c>
      <c r="F20" s="931">
        <f>transport!E14</f>
        <v>329.04205565432551</v>
      </c>
      <c r="G20" s="931">
        <f>transport!F14</f>
        <v>0</v>
      </c>
      <c r="H20" s="931">
        <f>transport!G14</f>
        <v>163157.83496385542</v>
      </c>
      <c r="I20" s="931">
        <f>transport!H14</f>
        <v>30269.174806226507</v>
      </c>
      <c r="J20" s="931">
        <f>transport!I14</f>
        <v>0</v>
      </c>
      <c r="K20" s="931">
        <f>transport!J14</f>
        <v>0</v>
      </c>
      <c r="L20" s="931">
        <f>transport!K14</f>
        <v>0</v>
      </c>
      <c r="M20" s="931">
        <f>transport!L14</f>
        <v>0</v>
      </c>
      <c r="N20" s="931">
        <f>transport!M14</f>
        <v>10423.693197635561</v>
      </c>
      <c r="O20" s="931">
        <f>transport!N14</f>
        <v>0</v>
      </c>
      <c r="P20" s="931">
        <f>transport!O14</f>
        <v>0</v>
      </c>
      <c r="Q20" s="932">
        <f>transport!P14</f>
        <v>0</v>
      </c>
      <c r="R20" s="628">
        <f>SUM(C20:Q20)</f>
        <v>204463.76936628274</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120.19365805674514</v>
      </c>
      <c r="D22" s="739">
        <f t="shared" ref="D22:R22" si="1">SUM(D18:D21)</f>
        <v>0</v>
      </c>
      <c r="E22" s="739">
        <f t="shared" si="1"/>
        <v>170.93010366301493</v>
      </c>
      <c r="F22" s="739">
        <f t="shared" si="1"/>
        <v>329.04205565432551</v>
      </c>
      <c r="G22" s="739">
        <f t="shared" si="1"/>
        <v>0</v>
      </c>
      <c r="H22" s="739">
        <f t="shared" si="1"/>
        <v>163824.7549051806</v>
      </c>
      <c r="I22" s="739">
        <f t="shared" si="1"/>
        <v>30269.174806226507</v>
      </c>
      <c r="J22" s="739">
        <f t="shared" si="1"/>
        <v>0</v>
      </c>
      <c r="K22" s="739">
        <f t="shared" si="1"/>
        <v>0</v>
      </c>
      <c r="L22" s="739">
        <f t="shared" si="1"/>
        <v>0</v>
      </c>
      <c r="M22" s="739">
        <f t="shared" si="1"/>
        <v>0</v>
      </c>
      <c r="N22" s="739">
        <f t="shared" si="1"/>
        <v>10462.099114639663</v>
      </c>
      <c r="O22" s="739">
        <f t="shared" si="1"/>
        <v>0</v>
      </c>
      <c r="P22" s="739">
        <f t="shared" si="1"/>
        <v>0</v>
      </c>
      <c r="Q22" s="739">
        <f t="shared" si="1"/>
        <v>0</v>
      </c>
      <c r="R22" s="739">
        <f t="shared" si="1"/>
        <v>205176.19464342084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1182.3101729999998</v>
      </c>
      <c r="D24" s="931">
        <f>+landbouw!C8</f>
        <v>0</v>
      </c>
      <c r="E24" s="931">
        <f>+landbouw!D8</f>
        <v>2648.8571914420004</v>
      </c>
      <c r="F24" s="931">
        <f>+landbouw!E8</f>
        <v>38.369851680029484</v>
      </c>
      <c r="G24" s="931">
        <f>+landbouw!F8</f>
        <v>4361.7716518733641</v>
      </c>
      <c r="H24" s="931">
        <f>+landbouw!G8</f>
        <v>0</v>
      </c>
      <c r="I24" s="931">
        <f>+landbouw!H8</f>
        <v>0</v>
      </c>
      <c r="J24" s="931">
        <f>+landbouw!I8</f>
        <v>0</v>
      </c>
      <c r="K24" s="931">
        <f>+landbouw!J8</f>
        <v>310.93535197909603</v>
      </c>
      <c r="L24" s="931">
        <f>+landbouw!K8</f>
        <v>0</v>
      </c>
      <c r="M24" s="931">
        <f>+landbouw!L8</f>
        <v>0</v>
      </c>
      <c r="N24" s="931">
        <f>+landbouw!M8</f>
        <v>0</v>
      </c>
      <c r="O24" s="931">
        <f>+landbouw!N8</f>
        <v>0</v>
      </c>
      <c r="P24" s="931">
        <f>+landbouw!O8</f>
        <v>0</v>
      </c>
      <c r="Q24" s="932">
        <f>+landbouw!P8</f>
        <v>0</v>
      </c>
      <c r="R24" s="628">
        <f>SUM(C24:Q24)</f>
        <v>8542.244219974491</v>
      </c>
      <c r="S24" s="67"/>
    </row>
    <row r="25" spans="1:19" s="437" customFormat="1" ht="15" thickBot="1">
      <c r="A25" s="758" t="s">
        <v>775</v>
      </c>
      <c r="B25" s="934"/>
      <c r="C25" s="935">
        <f>IF(Onbekend_ele_kWh="---",0,Onbekend_ele_kWh)/1000+IF(REST_rest_ele_kWh="---",0,REST_rest_ele_kWh)/1000</f>
        <v>484.19204999999999</v>
      </c>
      <c r="D25" s="935"/>
      <c r="E25" s="935">
        <f>IF(onbekend_gas_kWh="---",0,onbekend_gas_kWh)/1000+IF(REST_rest_gas_kWh="---",0,REST_rest_gas_kWh)/1000</f>
        <v>666.3338</v>
      </c>
      <c r="F25" s="935"/>
      <c r="G25" s="935"/>
      <c r="H25" s="935"/>
      <c r="I25" s="935"/>
      <c r="J25" s="935"/>
      <c r="K25" s="935"/>
      <c r="L25" s="935"/>
      <c r="M25" s="935"/>
      <c r="N25" s="935"/>
      <c r="O25" s="935"/>
      <c r="P25" s="935"/>
      <c r="Q25" s="936"/>
      <c r="R25" s="628">
        <f>SUM(C25:Q25)</f>
        <v>1150.52585</v>
      </c>
      <c r="S25" s="67"/>
    </row>
    <row r="26" spans="1:19" s="437" customFormat="1" ht="15.75" thickBot="1">
      <c r="A26" s="633" t="s">
        <v>776</v>
      </c>
      <c r="B26" s="744"/>
      <c r="C26" s="739">
        <f>SUM(C24:C25)</f>
        <v>1666.502223</v>
      </c>
      <c r="D26" s="739">
        <f t="shared" ref="D26:R26" si="2">SUM(D24:D25)</f>
        <v>0</v>
      </c>
      <c r="E26" s="739">
        <f t="shared" si="2"/>
        <v>3315.1909914420003</v>
      </c>
      <c r="F26" s="739">
        <f t="shared" si="2"/>
        <v>38.369851680029484</v>
      </c>
      <c r="G26" s="739">
        <f t="shared" si="2"/>
        <v>4361.7716518733641</v>
      </c>
      <c r="H26" s="739">
        <f t="shared" si="2"/>
        <v>0</v>
      </c>
      <c r="I26" s="739">
        <f t="shared" si="2"/>
        <v>0</v>
      </c>
      <c r="J26" s="739">
        <f t="shared" si="2"/>
        <v>0</v>
      </c>
      <c r="K26" s="739">
        <f t="shared" si="2"/>
        <v>310.93535197909603</v>
      </c>
      <c r="L26" s="739">
        <f t="shared" si="2"/>
        <v>0</v>
      </c>
      <c r="M26" s="739">
        <f t="shared" si="2"/>
        <v>0</v>
      </c>
      <c r="N26" s="739">
        <f t="shared" si="2"/>
        <v>0</v>
      </c>
      <c r="O26" s="739">
        <f t="shared" si="2"/>
        <v>0</v>
      </c>
      <c r="P26" s="739">
        <f t="shared" si="2"/>
        <v>0</v>
      </c>
      <c r="Q26" s="739">
        <f t="shared" si="2"/>
        <v>0</v>
      </c>
      <c r="R26" s="739">
        <f t="shared" si="2"/>
        <v>9692.770069974491</v>
      </c>
      <c r="S26" s="67"/>
    </row>
    <row r="27" spans="1:19" s="437" customFormat="1" ht="17.25" thickTop="1" thickBot="1">
      <c r="A27" s="634" t="s">
        <v>109</v>
      </c>
      <c r="B27" s="732"/>
      <c r="C27" s="635">
        <f ca="1">C22+C16+C26</f>
        <v>49478.454941437187</v>
      </c>
      <c r="D27" s="635">
        <f t="shared" ref="D27:R27" ca="1" si="3">D22+D16+D26</f>
        <v>0</v>
      </c>
      <c r="E27" s="635">
        <f t="shared" ca="1" si="3"/>
        <v>65260.462574131016</v>
      </c>
      <c r="F27" s="635">
        <f t="shared" si="3"/>
        <v>2754.1677789016862</v>
      </c>
      <c r="G27" s="635">
        <f t="shared" ca="1" si="3"/>
        <v>56062.564497963547</v>
      </c>
      <c r="H27" s="635">
        <f t="shared" si="3"/>
        <v>163824.7549051806</v>
      </c>
      <c r="I27" s="635">
        <f t="shared" si="3"/>
        <v>30269.174806226507</v>
      </c>
      <c r="J27" s="635">
        <f t="shared" si="3"/>
        <v>0</v>
      </c>
      <c r="K27" s="635">
        <f t="shared" si="3"/>
        <v>555.22240864508444</v>
      </c>
      <c r="L27" s="635">
        <f t="shared" si="3"/>
        <v>0</v>
      </c>
      <c r="M27" s="635">
        <f t="shared" ca="1" si="3"/>
        <v>0</v>
      </c>
      <c r="N27" s="635">
        <f t="shared" si="3"/>
        <v>10462.099114639663</v>
      </c>
      <c r="O27" s="635">
        <f t="shared" ca="1" si="3"/>
        <v>11681.293209605543</v>
      </c>
      <c r="P27" s="635">
        <f t="shared" si="3"/>
        <v>429.91666666666669</v>
      </c>
      <c r="Q27" s="635">
        <f t="shared" si="3"/>
        <v>2154.5333333333333</v>
      </c>
      <c r="R27" s="635">
        <f t="shared" ca="1" si="3"/>
        <v>392932.64423673076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3615.8159549910088</v>
      </c>
      <c r="D40" s="931">
        <f ca="1">tertiair!C20</f>
        <v>0</v>
      </c>
      <c r="E40" s="931">
        <f ca="1">tertiair!D20</f>
        <v>3107.8892330302524</v>
      </c>
      <c r="F40" s="931">
        <f>tertiair!E20</f>
        <v>73.628500084811563</v>
      </c>
      <c r="G40" s="931">
        <f ca="1">tertiair!F20</f>
        <v>929.97562609845238</v>
      </c>
      <c r="H40" s="931">
        <f>tertiair!G20</f>
        <v>0</v>
      </c>
      <c r="I40" s="931">
        <f>tertiair!H20</f>
        <v>0</v>
      </c>
      <c r="J40" s="931">
        <f>tertiair!I20</f>
        <v>0</v>
      </c>
      <c r="K40" s="931">
        <f>tertiair!J20</f>
        <v>1.1143582881415662E-2</v>
      </c>
      <c r="L40" s="931">
        <f>tertiair!K20</f>
        <v>0</v>
      </c>
      <c r="M40" s="931">
        <f ca="1">tertiair!L20</f>
        <v>0</v>
      </c>
      <c r="N40" s="931">
        <f>tertiair!M20</f>
        <v>0</v>
      </c>
      <c r="O40" s="931">
        <f ca="1">tertiair!N20</f>
        <v>0</v>
      </c>
      <c r="P40" s="931">
        <f>tertiair!O20</f>
        <v>0</v>
      </c>
      <c r="Q40" s="702">
        <f>tertiair!P20</f>
        <v>0</v>
      </c>
      <c r="R40" s="777">
        <f t="shared" ca="1" si="4"/>
        <v>7727.3204577874067</v>
      </c>
    </row>
    <row r="41" spans="1:18">
      <c r="A41" s="749" t="s">
        <v>213</v>
      </c>
      <c r="B41" s="756"/>
      <c r="C41" s="931">
        <f ca="1">huishoudens!B12</f>
        <v>4729.7782001116911</v>
      </c>
      <c r="D41" s="931">
        <f ca="1">huishoudens!C12</f>
        <v>0</v>
      </c>
      <c r="E41" s="931">
        <f>huishoudens!D12</f>
        <v>9044.3434483138008</v>
      </c>
      <c r="F41" s="931">
        <f>huishoudens!E12</f>
        <v>464.44988151346445</v>
      </c>
      <c r="G41" s="931">
        <f>huishoudens!F12</f>
        <v>12662.606622707544</v>
      </c>
      <c r="H41" s="931">
        <f>huishoudens!G12</f>
        <v>0</v>
      </c>
      <c r="I41" s="931">
        <f>huishoudens!H12</f>
        <v>0</v>
      </c>
      <c r="J41" s="931">
        <f>huishoudens!I12</f>
        <v>0</v>
      </c>
      <c r="K41" s="931">
        <f>huishoudens!J12</f>
        <v>86.278741571191915</v>
      </c>
      <c r="L41" s="931">
        <f>huishoudens!K12</f>
        <v>0</v>
      </c>
      <c r="M41" s="931">
        <f>huishoudens!L12</f>
        <v>0</v>
      </c>
      <c r="N41" s="931">
        <f>huishoudens!M12</f>
        <v>0</v>
      </c>
      <c r="O41" s="931">
        <f>huishoudens!N12</f>
        <v>0</v>
      </c>
      <c r="P41" s="931">
        <f>huishoudens!O12</f>
        <v>0</v>
      </c>
      <c r="Q41" s="702">
        <f>huishoudens!P12</f>
        <v>0</v>
      </c>
      <c r="R41" s="777">
        <f t="shared" ca="1" si="4"/>
        <v>26987.456894217692</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399.63486885431001</v>
      </c>
      <c r="D43" s="931">
        <f ca="1">industrie!C22</f>
        <v>0</v>
      </c>
      <c r="E43" s="931">
        <f>industrie!D22</f>
        <v>326.18429741919999</v>
      </c>
      <c r="F43" s="931">
        <f>industrie!E22</f>
        <v>3.7152012475082481</v>
      </c>
      <c r="G43" s="931">
        <f>industrie!F22</f>
        <v>211.52944110008235</v>
      </c>
      <c r="H43" s="931">
        <f>industrie!G22</f>
        <v>0</v>
      </c>
      <c r="I43" s="931">
        <f>industrie!H22</f>
        <v>0</v>
      </c>
      <c r="J43" s="931">
        <f>industrie!I22</f>
        <v>0</v>
      </c>
      <c r="K43" s="931">
        <f>industrie!J22</f>
        <v>0.18773290568656831</v>
      </c>
      <c r="L43" s="931">
        <f>industrie!K22</f>
        <v>0</v>
      </c>
      <c r="M43" s="931">
        <f>industrie!L22</f>
        <v>0</v>
      </c>
      <c r="N43" s="931">
        <f>industrie!M22</f>
        <v>0</v>
      </c>
      <c r="O43" s="931">
        <f>industrie!N22</f>
        <v>0</v>
      </c>
      <c r="P43" s="931">
        <f>industrie!O22</f>
        <v>0</v>
      </c>
      <c r="Q43" s="702">
        <f>industrie!P22</f>
        <v>0</v>
      </c>
      <c r="R43" s="776">
        <f t="shared" ca="1" si="4"/>
        <v>941.25154152678715</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8745.2290239570084</v>
      </c>
      <c r="D46" s="660">
        <f t="shared" ref="D46:Q46" ca="1" si="5">SUM(D39:D45)</f>
        <v>0</v>
      </c>
      <c r="E46" s="660">
        <f t="shared" ca="1" si="5"/>
        <v>12478.416978763253</v>
      </c>
      <c r="F46" s="660">
        <f t="shared" si="5"/>
        <v>541.79358284578427</v>
      </c>
      <c r="G46" s="660">
        <f t="shared" ca="1" si="5"/>
        <v>13804.11168990608</v>
      </c>
      <c r="H46" s="660">
        <f t="shared" si="5"/>
        <v>0</v>
      </c>
      <c r="I46" s="660">
        <f t="shared" si="5"/>
        <v>0</v>
      </c>
      <c r="J46" s="660">
        <f t="shared" si="5"/>
        <v>0</v>
      </c>
      <c r="K46" s="660">
        <f t="shared" si="5"/>
        <v>86.477618059759905</v>
      </c>
      <c r="L46" s="660">
        <f t="shared" si="5"/>
        <v>0</v>
      </c>
      <c r="M46" s="660">
        <f t="shared" ca="1" si="5"/>
        <v>0</v>
      </c>
      <c r="N46" s="660">
        <f t="shared" si="5"/>
        <v>0</v>
      </c>
      <c r="O46" s="660">
        <f t="shared" ca="1" si="5"/>
        <v>0</v>
      </c>
      <c r="P46" s="660">
        <f t="shared" si="5"/>
        <v>0</v>
      </c>
      <c r="Q46" s="660">
        <f t="shared" si="5"/>
        <v>0</v>
      </c>
      <c r="R46" s="660">
        <f ca="1">SUM(R39:R45)</f>
        <v>35656.028893531882</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1.3018191117993083</v>
      </c>
      <c r="D49" s="931">
        <f ca="1">transport!C58</f>
        <v>0</v>
      </c>
      <c r="E49" s="931">
        <f>transport!D58</f>
        <v>0</v>
      </c>
      <c r="F49" s="931">
        <f>transport!E58</f>
        <v>0</v>
      </c>
      <c r="G49" s="931">
        <f>transport!F58</f>
        <v>0</v>
      </c>
      <c r="H49" s="931">
        <f>transport!G58</f>
        <v>178.06762433381948</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179.3694434456188</v>
      </c>
    </row>
    <row r="50" spans="1:18">
      <c r="A50" s="752" t="s">
        <v>295</v>
      </c>
      <c r="B50" s="762"/>
      <c r="C50" s="631">
        <f ca="1">transport!B18</f>
        <v>20.738069700073488</v>
      </c>
      <c r="D50" s="631">
        <f>transport!C18</f>
        <v>0</v>
      </c>
      <c r="E50" s="631">
        <f>transport!D18</f>
        <v>34.52788093992902</v>
      </c>
      <c r="F50" s="631">
        <f>transport!E18</f>
        <v>74.69254663353189</v>
      </c>
      <c r="G50" s="631">
        <f>transport!F18</f>
        <v>0</v>
      </c>
      <c r="H50" s="631">
        <f>transport!G18</f>
        <v>43563.141935349398</v>
      </c>
      <c r="I50" s="631">
        <f>transport!H18</f>
        <v>7537.0245267504006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51230.12495937333</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22.039888811872796</v>
      </c>
      <c r="D52" s="660">
        <f t="shared" ref="D52:Q52" ca="1" si="6">SUM(D48:D51)</f>
        <v>0</v>
      </c>
      <c r="E52" s="660">
        <f t="shared" si="6"/>
        <v>34.52788093992902</v>
      </c>
      <c r="F52" s="660">
        <f t="shared" si="6"/>
        <v>74.69254663353189</v>
      </c>
      <c r="G52" s="660">
        <f t="shared" si="6"/>
        <v>0</v>
      </c>
      <c r="H52" s="660">
        <f t="shared" si="6"/>
        <v>43741.209559683215</v>
      </c>
      <c r="I52" s="660">
        <f t="shared" si="6"/>
        <v>7537.0245267504006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51409.494402818949</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216.79999739889553</v>
      </c>
      <c r="D54" s="631">
        <f ca="1">+landbouw!C12</f>
        <v>0</v>
      </c>
      <c r="E54" s="631">
        <f>+landbouw!D12</f>
        <v>535.06915267128409</v>
      </c>
      <c r="F54" s="631">
        <f>+landbouw!E12</f>
        <v>8.7099563313666923</v>
      </c>
      <c r="G54" s="631">
        <f>+landbouw!F12</f>
        <v>1164.5930310501883</v>
      </c>
      <c r="H54" s="631">
        <f>+landbouw!G12</f>
        <v>0</v>
      </c>
      <c r="I54" s="631">
        <f>+landbouw!H12</f>
        <v>0</v>
      </c>
      <c r="J54" s="631">
        <f>+landbouw!I12</f>
        <v>0</v>
      </c>
      <c r="K54" s="631">
        <f>+landbouw!J12</f>
        <v>110.07111460059998</v>
      </c>
      <c r="L54" s="631">
        <f>+landbouw!K12</f>
        <v>0</v>
      </c>
      <c r="M54" s="631">
        <f>+landbouw!L12</f>
        <v>0</v>
      </c>
      <c r="N54" s="631">
        <f>+landbouw!M12</f>
        <v>0</v>
      </c>
      <c r="O54" s="631">
        <f>+landbouw!N12</f>
        <v>0</v>
      </c>
      <c r="P54" s="631">
        <f>+landbouw!O12</f>
        <v>0</v>
      </c>
      <c r="Q54" s="632">
        <f>+landbouw!P12</f>
        <v>0</v>
      </c>
      <c r="R54" s="659">
        <f ca="1">SUM(C54:Q54)</f>
        <v>2035.2432520523346</v>
      </c>
    </row>
    <row r="55" spans="1:18" ht="15" thickBot="1">
      <c r="A55" s="752" t="s">
        <v>775</v>
      </c>
      <c r="B55" s="762"/>
      <c r="C55" s="631">
        <f ca="1">C25*'EF ele_warmte'!B12</f>
        <v>88.786206511449777</v>
      </c>
      <c r="D55" s="631"/>
      <c r="E55" s="631">
        <f>E25*EF_CO2_aardgas</f>
        <v>134.59942760000001</v>
      </c>
      <c r="F55" s="631"/>
      <c r="G55" s="631"/>
      <c r="H55" s="631"/>
      <c r="I55" s="631"/>
      <c r="J55" s="631"/>
      <c r="K55" s="631"/>
      <c r="L55" s="631"/>
      <c r="M55" s="631"/>
      <c r="N55" s="631"/>
      <c r="O55" s="631"/>
      <c r="P55" s="631"/>
      <c r="Q55" s="632"/>
      <c r="R55" s="659">
        <f ca="1">SUM(C55:Q55)</f>
        <v>223.3856341114498</v>
      </c>
    </row>
    <row r="56" spans="1:18" ht="15.75" thickBot="1">
      <c r="A56" s="750" t="s">
        <v>776</v>
      </c>
      <c r="B56" s="763"/>
      <c r="C56" s="660">
        <f ca="1">SUM(C54:C55)</f>
        <v>305.58620391034532</v>
      </c>
      <c r="D56" s="660">
        <f t="shared" ref="D56:Q56" ca="1" si="7">SUM(D54:D55)</f>
        <v>0</v>
      </c>
      <c r="E56" s="660">
        <f t="shared" si="7"/>
        <v>669.6685802712841</v>
      </c>
      <c r="F56" s="660">
        <f t="shared" si="7"/>
        <v>8.7099563313666923</v>
      </c>
      <c r="G56" s="660">
        <f t="shared" si="7"/>
        <v>1164.5930310501883</v>
      </c>
      <c r="H56" s="660">
        <f t="shared" si="7"/>
        <v>0</v>
      </c>
      <c r="I56" s="660">
        <f t="shared" si="7"/>
        <v>0</v>
      </c>
      <c r="J56" s="660">
        <f t="shared" si="7"/>
        <v>0</v>
      </c>
      <c r="K56" s="660">
        <f t="shared" si="7"/>
        <v>110.07111460059998</v>
      </c>
      <c r="L56" s="660">
        <f t="shared" si="7"/>
        <v>0</v>
      </c>
      <c r="M56" s="660">
        <f t="shared" si="7"/>
        <v>0</v>
      </c>
      <c r="N56" s="660">
        <f t="shared" si="7"/>
        <v>0</v>
      </c>
      <c r="O56" s="660">
        <f t="shared" si="7"/>
        <v>0</v>
      </c>
      <c r="P56" s="660">
        <f t="shared" si="7"/>
        <v>0</v>
      </c>
      <c r="Q56" s="661">
        <f t="shared" si="7"/>
        <v>0</v>
      </c>
      <c r="R56" s="662">
        <f ca="1">SUM(R54:R55)</f>
        <v>2258.6288861637845</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9072.8551166792258</v>
      </c>
      <c r="D61" s="668">
        <f t="shared" ref="D61:Q61" ca="1" si="8">D46+D52+D56</f>
        <v>0</v>
      </c>
      <c r="E61" s="668">
        <f t="shared" ca="1" si="8"/>
        <v>13182.613439974466</v>
      </c>
      <c r="F61" s="668">
        <f t="shared" si="8"/>
        <v>625.1960858106828</v>
      </c>
      <c r="G61" s="668">
        <f t="shared" ca="1" si="8"/>
        <v>14968.704720956268</v>
      </c>
      <c r="H61" s="668">
        <f t="shared" si="8"/>
        <v>43741.209559683215</v>
      </c>
      <c r="I61" s="668">
        <f t="shared" si="8"/>
        <v>7537.0245267504006</v>
      </c>
      <c r="J61" s="668">
        <f t="shared" si="8"/>
        <v>0</v>
      </c>
      <c r="K61" s="668">
        <f t="shared" si="8"/>
        <v>196.54873266035989</v>
      </c>
      <c r="L61" s="668">
        <f t="shared" si="8"/>
        <v>0</v>
      </c>
      <c r="M61" s="668">
        <f t="shared" ca="1" si="8"/>
        <v>0</v>
      </c>
      <c r="N61" s="668">
        <f t="shared" si="8"/>
        <v>0</v>
      </c>
      <c r="O61" s="668">
        <f t="shared" ca="1" si="8"/>
        <v>0</v>
      </c>
      <c r="P61" s="668">
        <f t="shared" si="8"/>
        <v>0</v>
      </c>
      <c r="Q61" s="668">
        <f t="shared" si="8"/>
        <v>0</v>
      </c>
      <c r="R61" s="668">
        <f ca="1">R46+R52+R56</f>
        <v>89324.152182514619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0.18336981474902314</v>
      </c>
      <c r="D63" s="709">
        <f t="shared" ca="1" si="9"/>
        <v>0</v>
      </c>
      <c r="E63" s="942">
        <f t="shared" ca="1" si="9"/>
        <v>0.20200000000000001</v>
      </c>
      <c r="F63" s="709">
        <f t="shared" si="9"/>
        <v>0.22700000000000001</v>
      </c>
      <c r="G63" s="709">
        <f t="shared" ca="1" si="9"/>
        <v>0.26700000000000002</v>
      </c>
      <c r="H63" s="709">
        <f t="shared" si="9"/>
        <v>0.26699999999999996</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8424.8118795402224</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8424.8118795402224</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25793.65751438044</v>
      </c>
      <c r="C4" s="441">
        <f>huishoudens!C8</f>
        <v>0</v>
      </c>
      <c r="D4" s="441">
        <f>huishoudens!D8</f>
        <v>44773.977466900003</v>
      </c>
      <c r="E4" s="441">
        <f>huishoudens!E8</f>
        <v>2046.034720323632</v>
      </c>
      <c r="F4" s="441">
        <f>huishoudens!F8</f>
        <v>47425.492968942111</v>
      </c>
      <c r="G4" s="441">
        <f>huishoudens!G8</f>
        <v>0</v>
      </c>
      <c r="H4" s="441">
        <f>huishoudens!H8</f>
        <v>0</v>
      </c>
      <c r="I4" s="441">
        <f>huishoudens!I8</f>
        <v>0</v>
      </c>
      <c r="J4" s="441">
        <f>huishoudens!J8</f>
        <v>243.72525867568339</v>
      </c>
      <c r="K4" s="441">
        <f>huishoudens!K8</f>
        <v>0</v>
      </c>
      <c r="L4" s="441">
        <f>huishoudens!L8</f>
        <v>0</v>
      </c>
      <c r="M4" s="441">
        <f>huishoudens!M8</f>
        <v>0</v>
      </c>
      <c r="N4" s="441">
        <f>huishoudens!N8</f>
        <v>10308.542290953601</v>
      </c>
      <c r="O4" s="441">
        <f>huishoudens!O8</f>
        <v>423.66333333333336</v>
      </c>
      <c r="P4" s="442">
        <f>huishoudens!P8</f>
        <v>2135.4666666666667</v>
      </c>
      <c r="Q4" s="443">
        <f>SUM(B4:P4)</f>
        <v>133150.56022017545</v>
      </c>
    </row>
    <row r="5" spans="1:17">
      <c r="A5" s="440" t="s">
        <v>149</v>
      </c>
      <c r="B5" s="441">
        <f ca="1">tertiair!B16</f>
        <v>18792.022665</v>
      </c>
      <c r="C5" s="441">
        <f ca="1">tertiair!C16</f>
        <v>0</v>
      </c>
      <c r="D5" s="441">
        <f ca="1">tertiair!D16</f>
        <v>15385.590262526001</v>
      </c>
      <c r="E5" s="441">
        <f>tertiair!E16</f>
        <v>324.35462592428001</v>
      </c>
      <c r="F5" s="441">
        <f ca="1">tertiair!F16</f>
        <v>3483.0547793949527</v>
      </c>
      <c r="G5" s="441">
        <f>tertiair!G16</f>
        <v>0</v>
      </c>
      <c r="H5" s="441">
        <f>tertiair!H16</f>
        <v>0</v>
      </c>
      <c r="I5" s="441">
        <f>tertiair!I16</f>
        <v>0</v>
      </c>
      <c r="J5" s="441">
        <f>tertiair!J16</f>
        <v>3.1479047687614864E-2</v>
      </c>
      <c r="K5" s="441">
        <f>tertiair!K16</f>
        <v>0</v>
      </c>
      <c r="L5" s="441">
        <f ca="1">tertiair!L16</f>
        <v>0</v>
      </c>
      <c r="M5" s="441">
        <f>tertiair!M16</f>
        <v>0</v>
      </c>
      <c r="N5" s="441">
        <f ca="1">tertiair!N16</f>
        <v>1264.0430530131555</v>
      </c>
      <c r="O5" s="441">
        <f>tertiair!O16</f>
        <v>6.2533333333333339</v>
      </c>
      <c r="P5" s="442">
        <f>tertiair!P16</f>
        <v>19.066666666666666</v>
      </c>
      <c r="Q5" s="440">
        <f t="shared" ref="Q5:Q14" ca="1" si="0">SUM(B5:P5)</f>
        <v>39274.416864906074</v>
      </c>
    </row>
    <row r="6" spans="1:17">
      <c r="A6" s="440" t="s">
        <v>187</v>
      </c>
      <c r="B6" s="441">
        <f>'openbare verlichting'!B8</f>
        <v>926.68600000000004</v>
      </c>
      <c r="C6" s="441"/>
      <c r="D6" s="441"/>
      <c r="E6" s="441"/>
      <c r="F6" s="441"/>
      <c r="G6" s="441"/>
      <c r="H6" s="441"/>
      <c r="I6" s="441"/>
      <c r="J6" s="441"/>
      <c r="K6" s="441"/>
      <c r="L6" s="441"/>
      <c r="M6" s="441"/>
      <c r="N6" s="441"/>
      <c r="O6" s="441"/>
      <c r="P6" s="442"/>
      <c r="Q6" s="440">
        <f t="shared" si="0"/>
        <v>926.68600000000004</v>
      </c>
    </row>
    <row r="7" spans="1:17">
      <c r="A7" s="440" t="s">
        <v>105</v>
      </c>
      <c r="B7" s="441">
        <f>landbouw!B8</f>
        <v>1182.3101729999998</v>
      </c>
      <c r="C7" s="441">
        <f>landbouw!C8</f>
        <v>0</v>
      </c>
      <c r="D7" s="441">
        <f>landbouw!D8</f>
        <v>2648.8571914420004</v>
      </c>
      <c r="E7" s="441">
        <f>landbouw!E8</f>
        <v>38.369851680029484</v>
      </c>
      <c r="F7" s="441">
        <f>landbouw!F8</f>
        <v>4361.7716518733641</v>
      </c>
      <c r="G7" s="441">
        <f>landbouw!G8</f>
        <v>0</v>
      </c>
      <c r="H7" s="441">
        <f>landbouw!H8</f>
        <v>0</v>
      </c>
      <c r="I7" s="441">
        <f>landbouw!I8</f>
        <v>0</v>
      </c>
      <c r="J7" s="441">
        <f>landbouw!J8</f>
        <v>310.93535197909603</v>
      </c>
      <c r="K7" s="441">
        <f>landbouw!K8</f>
        <v>0</v>
      </c>
      <c r="L7" s="441">
        <f>landbouw!L8</f>
        <v>0</v>
      </c>
      <c r="M7" s="441">
        <f>landbouw!M8</f>
        <v>0</v>
      </c>
      <c r="N7" s="441">
        <f>landbouw!N8</f>
        <v>0</v>
      </c>
      <c r="O7" s="441">
        <f>landbouw!O8</f>
        <v>0</v>
      </c>
      <c r="P7" s="442">
        <f>landbouw!P8</f>
        <v>0</v>
      </c>
      <c r="Q7" s="440">
        <f t="shared" si="0"/>
        <v>8542.244219974491</v>
      </c>
    </row>
    <row r="8" spans="1:17">
      <c r="A8" s="440" t="s">
        <v>596</v>
      </c>
      <c r="B8" s="441">
        <f>industrie!B18</f>
        <v>2179.3928810000002</v>
      </c>
      <c r="C8" s="441">
        <f>industrie!C18</f>
        <v>0</v>
      </c>
      <c r="D8" s="441">
        <f>industrie!D18</f>
        <v>1614.7737496</v>
      </c>
      <c r="E8" s="441">
        <f>industrie!E18</f>
        <v>16.366525319419594</v>
      </c>
      <c r="F8" s="441">
        <f>industrie!F18</f>
        <v>792.24509775311742</v>
      </c>
      <c r="G8" s="441">
        <f>industrie!G18</f>
        <v>0</v>
      </c>
      <c r="H8" s="441">
        <f>industrie!H18</f>
        <v>0</v>
      </c>
      <c r="I8" s="441">
        <f>industrie!I18</f>
        <v>0</v>
      </c>
      <c r="J8" s="441">
        <f>industrie!J18</f>
        <v>0.53031894261742463</v>
      </c>
      <c r="K8" s="441">
        <f>industrie!K18</f>
        <v>0</v>
      </c>
      <c r="L8" s="441">
        <f>industrie!L18</f>
        <v>0</v>
      </c>
      <c r="M8" s="441">
        <f>industrie!M18</f>
        <v>0</v>
      </c>
      <c r="N8" s="441">
        <f>industrie!N18</f>
        <v>108.707865638786</v>
      </c>
      <c r="O8" s="441">
        <f>industrie!O18</f>
        <v>0</v>
      </c>
      <c r="P8" s="442">
        <f>industrie!P18</f>
        <v>0</v>
      </c>
      <c r="Q8" s="440">
        <f t="shared" si="0"/>
        <v>4712.0164382539406</v>
      </c>
    </row>
    <row r="9" spans="1:17" s="446" customFormat="1">
      <c r="A9" s="444" t="s">
        <v>545</v>
      </c>
      <c r="B9" s="445">
        <f>transport!B14</f>
        <v>113.09423924792375</v>
      </c>
      <c r="C9" s="445">
        <f>transport!C14</f>
        <v>0</v>
      </c>
      <c r="D9" s="445">
        <f>transport!D14</f>
        <v>170.93010366301493</v>
      </c>
      <c r="E9" s="445">
        <f>transport!E14</f>
        <v>329.04205565432551</v>
      </c>
      <c r="F9" s="445">
        <f>transport!F14</f>
        <v>0</v>
      </c>
      <c r="G9" s="445">
        <f>transport!G14</f>
        <v>163157.83496385542</v>
      </c>
      <c r="H9" s="445">
        <f>transport!H14</f>
        <v>30269.174806226507</v>
      </c>
      <c r="I9" s="445">
        <f>transport!I14</f>
        <v>0</v>
      </c>
      <c r="J9" s="445">
        <f>transport!J14</f>
        <v>0</v>
      </c>
      <c r="K9" s="445">
        <f>transport!K14</f>
        <v>0</v>
      </c>
      <c r="L9" s="445">
        <f>transport!L14</f>
        <v>0</v>
      </c>
      <c r="M9" s="445">
        <f>transport!M14</f>
        <v>10423.693197635561</v>
      </c>
      <c r="N9" s="445">
        <f>transport!N14</f>
        <v>0</v>
      </c>
      <c r="O9" s="445">
        <f>transport!O14</f>
        <v>0</v>
      </c>
      <c r="P9" s="445">
        <f>transport!P14</f>
        <v>0</v>
      </c>
      <c r="Q9" s="444">
        <f>SUM(B9:P9)</f>
        <v>204463.76936628274</v>
      </c>
    </row>
    <row r="10" spans="1:17">
      <c r="A10" s="440" t="s">
        <v>535</v>
      </c>
      <c r="B10" s="441">
        <f>transport!B54</f>
        <v>7.099418808821385</v>
      </c>
      <c r="C10" s="441">
        <f>transport!C54</f>
        <v>0</v>
      </c>
      <c r="D10" s="441">
        <f>transport!D54</f>
        <v>0</v>
      </c>
      <c r="E10" s="441">
        <f>transport!E54</f>
        <v>0</v>
      </c>
      <c r="F10" s="441">
        <f>transport!F54</f>
        <v>0</v>
      </c>
      <c r="G10" s="441">
        <f>transport!G54</f>
        <v>666.91994132516652</v>
      </c>
      <c r="H10" s="441">
        <f>transport!H54</f>
        <v>0</v>
      </c>
      <c r="I10" s="441">
        <f>transport!I54</f>
        <v>0</v>
      </c>
      <c r="J10" s="441">
        <f>transport!J54</f>
        <v>0</v>
      </c>
      <c r="K10" s="441">
        <f>transport!K54</f>
        <v>0</v>
      </c>
      <c r="L10" s="441">
        <f>transport!L54</f>
        <v>0</v>
      </c>
      <c r="M10" s="441">
        <f>transport!M54</f>
        <v>38.405917004101113</v>
      </c>
      <c r="N10" s="441">
        <f>transport!N54</f>
        <v>0</v>
      </c>
      <c r="O10" s="441">
        <f>transport!O54</f>
        <v>0</v>
      </c>
      <c r="P10" s="442">
        <f>transport!P54</f>
        <v>0</v>
      </c>
      <c r="Q10" s="440">
        <f t="shared" si="0"/>
        <v>712.42527713808897</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484.19204999999999</v>
      </c>
      <c r="C14" s="448"/>
      <c r="D14" s="448">
        <f>'SEAP template'!E25</f>
        <v>666.3338</v>
      </c>
      <c r="E14" s="448"/>
      <c r="F14" s="448"/>
      <c r="G14" s="448"/>
      <c r="H14" s="448"/>
      <c r="I14" s="448"/>
      <c r="J14" s="448"/>
      <c r="K14" s="448"/>
      <c r="L14" s="448"/>
      <c r="M14" s="448"/>
      <c r="N14" s="448"/>
      <c r="O14" s="448"/>
      <c r="P14" s="449"/>
      <c r="Q14" s="440">
        <f t="shared" si="0"/>
        <v>1150.52585</v>
      </c>
    </row>
    <row r="15" spans="1:17" s="450" customFormat="1">
      <c r="A15" s="957" t="s">
        <v>539</v>
      </c>
      <c r="B15" s="905">
        <f ca="1">SUM(B4:B14)</f>
        <v>49478.454941437187</v>
      </c>
      <c r="C15" s="905">
        <f t="shared" ref="C15:Q15" ca="1" si="1">SUM(C4:C14)</f>
        <v>0</v>
      </c>
      <c r="D15" s="905">
        <f t="shared" ca="1" si="1"/>
        <v>65260.462574131016</v>
      </c>
      <c r="E15" s="905">
        <f t="shared" si="1"/>
        <v>2754.1677789016862</v>
      </c>
      <c r="F15" s="905">
        <f t="shared" ca="1" si="1"/>
        <v>56062.564497963547</v>
      </c>
      <c r="G15" s="905">
        <f t="shared" si="1"/>
        <v>163824.7549051806</v>
      </c>
      <c r="H15" s="905">
        <f t="shared" si="1"/>
        <v>30269.174806226507</v>
      </c>
      <c r="I15" s="905">
        <f t="shared" si="1"/>
        <v>0</v>
      </c>
      <c r="J15" s="905">
        <f t="shared" si="1"/>
        <v>555.22240864508444</v>
      </c>
      <c r="K15" s="905">
        <f t="shared" si="1"/>
        <v>0</v>
      </c>
      <c r="L15" s="905">
        <f t="shared" ca="1" si="1"/>
        <v>0</v>
      </c>
      <c r="M15" s="905">
        <f t="shared" si="1"/>
        <v>10462.099114639663</v>
      </c>
      <c r="N15" s="905">
        <f t="shared" ca="1" si="1"/>
        <v>11681.293209605543</v>
      </c>
      <c r="O15" s="905">
        <f t="shared" si="1"/>
        <v>429.91666666666669</v>
      </c>
      <c r="P15" s="905">
        <f t="shared" si="1"/>
        <v>2154.5333333333333</v>
      </c>
      <c r="Q15" s="905">
        <f t="shared" ca="1" si="1"/>
        <v>392932.6442367307</v>
      </c>
    </row>
    <row r="17" spans="1:17">
      <c r="A17" s="451" t="s">
        <v>540</v>
      </c>
      <c r="B17" s="714">
        <f ca="1">huishoudens!B10</f>
        <v>0.1833698147490232</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4729.7782001116911</v>
      </c>
      <c r="C22" s="441">
        <f t="shared" ref="C22:C32" ca="1" si="3">C4*$C$17</f>
        <v>0</v>
      </c>
      <c r="D22" s="441">
        <f t="shared" ref="D22:D32" si="4">D4*$D$17</f>
        <v>9044.3434483138008</v>
      </c>
      <c r="E22" s="441">
        <f t="shared" ref="E22:E32" si="5">E4*$E$17</f>
        <v>464.44988151346445</v>
      </c>
      <c r="F22" s="441">
        <f t="shared" ref="F22:F32" si="6">F4*$F$17</f>
        <v>12662.606622707544</v>
      </c>
      <c r="G22" s="441">
        <f t="shared" ref="G22:G32" si="7">G4*$G$17</f>
        <v>0</v>
      </c>
      <c r="H22" s="441">
        <f t="shared" ref="H22:H32" si="8">H4*$H$17</f>
        <v>0</v>
      </c>
      <c r="I22" s="441">
        <f t="shared" ref="I22:I32" si="9">I4*$I$17</f>
        <v>0</v>
      </c>
      <c r="J22" s="441">
        <f t="shared" ref="J22:J32" si="10">J4*$J$17</f>
        <v>86.278741571191915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26987.456894217692</v>
      </c>
    </row>
    <row r="23" spans="1:17">
      <c r="A23" s="440" t="s">
        <v>149</v>
      </c>
      <c r="B23" s="441">
        <f t="shared" ca="1" si="2"/>
        <v>3445.8897148404953</v>
      </c>
      <c r="C23" s="441">
        <f t="shared" ca="1" si="3"/>
        <v>0</v>
      </c>
      <c r="D23" s="441">
        <f t="shared" ca="1" si="4"/>
        <v>3107.8892330302524</v>
      </c>
      <c r="E23" s="441">
        <f t="shared" si="5"/>
        <v>73.628500084811563</v>
      </c>
      <c r="F23" s="441">
        <f t="shared" ca="1" si="6"/>
        <v>929.97562609845238</v>
      </c>
      <c r="G23" s="441">
        <f t="shared" si="7"/>
        <v>0</v>
      </c>
      <c r="H23" s="441">
        <f t="shared" si="8"/>
        <v>0</v>
      </c>
      <c r="I23" s="441">
        <f t="shared" si="9"/>
        <v>0</v>
      </c>
      <c r="J23" s="441">
        <f t="shared" si="10"/>
        <v>1.1143582881415662E-2</v>
      </c>
      <c r="K23" s="441">
        <f t="shared" si="11"/>
        <v>0</v>
      </c>
      <c r="L23" s="441">
        <f t="shared" ca="1" si="12"/>
        <v>0</v>
      </c>
      <c r="M23" s="441">
        <f t="shared" si="13"/>
        <v>0</v>
      </c>
      <c r="N23" s="441">
        <f t="shared" ca="1" si="14"/>
        <v>0</v>
      </c>
      <c r="O23" s="441">
        <f t="shared" si="15"/>
        <v>0</v>
      </c>
      <c r="P23" s="442">
        <f t="shared" si="16"/>
        <v>0</v>
      </c>
      <c r="Q23" s="440">
        <f t="shared" ref="Q23:Q32" ca="1" si="17">SUM(B23:P23)</f>
        <v>7557.3942176368928</v>
      </c>
    </row>
    <row r="24" spans="1:17">
      <c r="A24" s="440" t="s">
        <v>187</v>
      </c>
      <c r="B24" s="441">
        <f t="shared" ca="1" si="2"/>
        <v>169.92624015051331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169.92624015051331</v>
      </c>
    </row>
    <row r="25" spans="1:17">
      <c r="A25" s="440" t="s">
        <v>105</v>
      </c>
      <c r="B25" s="441">
        <f t="shared" ca="1" si="2"/>
        <v>216.79999739889553</v>
      </c>
      <c r="C25" s="441">
        <f t="shared" ca="1" si="3"/>
        <v>0</v>
      </c>
      <c r="D25" s="441">
        <f t="shared" si="4"/>
        <v>535.06915267128409</v>
      </c>
      <c r="E25" s="441">
        <f t="shared" si="5"/>
        <v>8.7099563313666923</v>
      </c>
      <c r="F25" s="441">
        <f t="shared" si="6"/>
        <v>1164.5930310501883</v>
      </c>
      <c r="G25" s="441">
        <f t="shared" si="7"/>
        <v>0</v>
      </c>
      <c r="H25" s="441">
        <f t="shared" si="8"/>
        <v>0</v>
      </c>
      <c r="I25" s="441">
        <f t="shared" si="9"/>
        <v>0</v>
      </c>
      <c r="J25" s="441">
        <f t="shared" si="10"/>
        <v>110.07111460059998</v>
      </c>
      <c r="K25" s="441">
        <f t="shared" si="11"/>
        <v>0</v>
      </c>
      <c r="L25" s="441">
        <f t="shared" si="12"/>
        <v>0</v>
      </c>
      <c r="M25" s="441">
        <f t="shared" si="13"/>
        <v>0</v>
      </c>
      <c r="N25" s="441">
        <f t="shared" si="14"/>
        <v>0</v>
      </c>
      <c r="O25" s="441">
        <f t="shared" si="15"/>
        <v>0</v>
      </c>
      <c r="P25" s="442">
        <f t="shared" si="16"/>
        <v>0</v>
      </c>
      <c r="Q25" s="440">
        <f t="shared" ca="1" si="17"/>
        <v>2035.2432520523346</v>
      </c>
    </row>
    <row r="26" spans="1:17">
      <c r="A26" s="440" t="s">
        <v>596</v>
      </c>
      <c r="B26" s="441">
        <f t="shared" ca="1" si="2"/>
        <v>399.63486885431001</v>
      </c>
      <c r="C26" s="441">
        <f t="shared" ca="1" si="3"/>
        <v>0</v>
      </c>
      <c r="D26" s="441">
        <f t="shared" si="4"/>
        <v>326.18429741919999</v>
      </c>
      <c r="E26" s="441">
        <f t="shared" si="5"/>
        <v>3.7152012475082481</v>
      </c>
      <c r="F26" s="441">
        <f t="shared" si="6"/>
        <v>211.52944110008235</v>
      </c>
      <c r="G26" s="441">
        <f t="shared" si="7"/>
        <v>0</v>
      </c>
      <c r="H26" s="441">
        <f t="shared" si="8"/>
        <v>0</v>
      </c>
      <c r="I26" s="441">
        <f t="shared" si="9"/>
        <v>0</v>
      </c>
      <c r="J26" s="441">
        <f t="shared" si="10"/>
        <v>0.18773290568656831</v>
      </c>
      <c r="K26" s="441">
        <f t="shared" si="11"/>
        <v>0</v>
      </c>
      <c r="L26" s="441">
        <f t="shared" si="12"/>
        <v>0</v>
      </c>
      <c r="M26" s="441">
        <f t="shared" si="13"/>
        <v>0</v>
      </c>
      <c r="N26" s="441">
        <f t="shared" si="14"/>
        <v>0</v>
      </c>
      <c r="O26" s="441">
        <f t="shared" si="15"/>
        <v>0</v>
      </c>
      <c r="P26" s="442">
        <f t="shared" si="16"/>
        <v>0</v>
      </c>
      <c r="Q26" s="440">
        <f t="shared" ca="1" si="17"/>
        <v>941.25154152678715</v>
      </c>
    </row>
    <row r="27" spans="1:17" s="446" customFormat="1">
      <c r="A27" s="444" t="s">
        <v>545</v>
      </c>
      <c r="B27" s="708">
        <f t="shared" ca="1" si="2"/>
        <v>20.738069700073488</v>
      </c>
      <c r="C27" s="445">
        <f t="shared" ca="1" si="3"/>
        <v>0</v>
      </c>
      <c r="D27" s="445">
        <f t="shared" si="4"/>
        <v>34.52788093992902</v>
      </c>
      <c r="E27" s="445">
        <f t="shared" si="5"/>
        <v>74.69254663353189</v>
      </c>
      <c r="F27" s="445">
        <f t="shared" si="6"/>
        <v>0</v>
      </c>
      <c r="G27" s="445">
        <f t="shared" si="7"/>
        <v>43563.141935349398</v>
      </c>
      <c r="H27" s="445">
        <f t="shared" si="8"/>
        <v>7537.0245267504006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51230.12495937333</v>
      </c>
    </row>
    <row r="28" spans="1:17">
      <c r="A28" s="440" t="s">
        <v>535</v>
      </c>
      <c r="B28" s="441">
        <f t="shared" ca="1" si="2"/>
        <v>1.3018191117993083</v>
      </c>
      <c r="C28" s="441">
        <f t="shared" ca="1" si="3"/>
        <v>0</v>
      </c>
      <c r="D28" s="441">
        <f t="shared" si="4"/>
        <v>0</v>
      </c>
      <c r="E28" s="441">
        <f t="shared" si="5"/>
        <v>0</v>
      </c>
      <c r="F28" s="441">
        <f t="shared" si="6"/>
        <v>0</v>
      </c>
      <c r="G28" s="441">
        <f t="shared" si="7"/>
        <v>178.06762433381948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179.3694434456188</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88.786206511449777</v>
      </c>
      <c r="C32" s="441">
        <f t="shared" ca="1" si="3"/>
        <v>0</v>
      </c>
      <c r="D32" s="441">
        <f t="shared" si="4"/>
        <v>134.59942760000001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223.3856341114498</v>
      </c>
    </row>
    <row r="33" spans="1:17" s="450" customFormat="1">
      <c r="A33" s="957" t="s">
        <v>539</v>
      </c>
      <c r="B33" s="905">
        <f ca="1">SUM(B22:B32)</f>
        <v>9072.8551166792258</v>
      </c>
      <c r="C33" s="905">
        <f t="shared" ref="C33:Q33" ca="1" si="18">SUM(C22:C32)</f>
        <v>0</v>
      </c>
      <c r="D33" s="905">
        <f t="shared" ca="1" si="18"/>
        <v>13182.613439974466</v>
      </c>
      <c r="E33" s="905">
        <f t="shared" si="18"/>
        <v>625.19608581068292</v>
      </c>
      <c r="F33" s="905">
        <f t="shared" ca="1" si="18"/>
        <v>14968.704720956268</v>
      </c>
      <c r="G33" s="905">
        <f t="shared" si="18"/>
        <v>43741.209559683215</v>
      </c>
      <c r="H33" s="905">
        <f t="shared" si="18"/>
        <v>7537.0245267504006</v>
      </c>
      <c r="I33" s="905">
        <f t="shared" si="18"/>
        <v>0</v>
      </c>
      <c r="J33" s="905">
        <f t="shared" si="18"/>
        <v>196.54873266035989</v>
      </c>
      <c r="K33" s="905">
        <f t="shared" si="18"/>
        <v>0</v>
      </c>
      <c r="L33" s="905">
        <f t="shared" ca="1" si="18"/>
        <v>0</v>
      </c>
      <c r="M33" s="905">
        <f t="shared" si="18"/>
        <v>0</v>
      </c>
      <c r="N33" s="905">
        <f t="shared" ca="1" si="18"/>
        <v>0</v>
      </c>
      <c r="O33" s="905">
        <f t="shared" si="18"/>
        <v>0</v>
      </c>
      <c r="P33" s="905">
        <f t="shared" si="18"/>
        <v>0</v>
      </c>
      <c r="Q33" s="905">
        <f t="shared" ca="1" si="18"/>
        <v>89324.152182514605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8424.8118795402224</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8424.8118795402224</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0.1833698147490232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0.1833698147490232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1</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1.5633333333333335</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2022-07-26T10:34:58Z</dcterms:modified>
</cp:coreProperties>
</file>