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931FD507-B48E-4D79-BA6B-C15FFC227D1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<sst xmlns="http://schemas.openxmlformats.org/spreadsheetml/2006/main" count="2412" uniqueCount="885">
  <si>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</si>
  <si>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</si>
  <si>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</si>
  <si>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</si>
  <si>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</si>
  <si>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</si>
  <si>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</si>
  <si>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</si>
  <si>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</si>
  <si>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</si>
  <si>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</si>
  <si>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</si>
  <si>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</si>
  <si>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</si>
  <si>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</si>
  <si>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</si>
  <si>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</si>
  <si>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</si>
  <si>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</si>
  <si>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</si>
  <si>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</si>
  <si>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</si>
  <si>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</si>
  <si>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</si>
  <si>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</si>
  <si>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</si>
  <si>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</si>
  <si>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</si>
  <si>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</si>
  <si>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</si>
  <si>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</si>
  <si>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</si>
  <si>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</si>
  <si>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</si>
  <si>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</si>
  <si>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</si>
  <si>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</si>
  <si>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</si>
  <si>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</si>
  <si>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</si>
  <si>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</si>
  <si>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</si>
  <si>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</si>
  <si>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</si>
  <si>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</si>
  <si>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</si>
  <si>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</si>
  <si>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</si>
  <si>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</si>
  <si>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</si>
  <si>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</si>
  <si>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</si>
  <si>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</si>
  <si>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</si>
  <si>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</si>
  <si>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</si>
  <si>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</si>
  <si>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</si>
  <si>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</si>
  <si>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</si>
  <si>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</si>
  <si>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</si>
  <si>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</si>
  <si>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</si>
  <si>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</si>
  <si>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</si>
  <si>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</si>
  <si>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</si>
  <si>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</si>
  <si>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</si>
  <si>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</si>
  <si>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</si>
  <si>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</si>
  <si>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</si>
  <si>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</si>
  <si>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</si>
  <si>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</si>
  <si>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</si>
  <si>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</si>
  <si>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</si>
  <si>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</si>
  <si>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</si>
  <si>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</si>
  <si>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</si>
  <si>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</si>
  <si>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</si>
  <si>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</si>
  <si>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</si>
  <si>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</si>
  <si>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</si>
  <si>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</si>
  <si>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</si>
  <si>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</si>
  <si>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</si>
  <si>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</si>
  <si>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</si>
  <si>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</si>
  <si>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</si>
  <si>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</si>
  <si>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</si>
  <si>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</si>
  <si>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</si>
  <si>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</si>
  <si>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</si>
  <si>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</si>
  <si>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</si>
  <si>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</si>
  <si>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</si>
  <si>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</si>
  <si>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</si>
  <si>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</si>
  <si>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</si>
  <si>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</si>
  <si>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</si>
  <si>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</si>
  <si>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</si>
  <si>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</si>
  <si>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</si>
  <si>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</si>
  <si>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</si>
  <si>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</si>
  <si>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</si>
  <si>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</si>
  <si>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</si>
  <si>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</si>
  <si>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</si>
  <si>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</si>
  <si>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</si>
  <si>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</si>
  <si>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</si>
  <si>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</si>
  <si>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</si>
  <si>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</si>
  <si>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</si>
  <si>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</si>
  <si>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</si>
  <si>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</si>
  <si>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</si>
  <si>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</si>
  <si>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</si>
  <si>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</si>
  <si>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</si>
  <si>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</si>
  <si>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</si>
  <si>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</si>
  <si>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</si>
  <si>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</si>
  <si>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</si>
  <si>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</si>
  <si>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</si>
  <si>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</si>
  <si>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</si>
  <si>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</si>
  <si>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</si>
  <si>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</si>
  <si>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</si>
  <si>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</si>
  <si>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</si>
  <si>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</si>
  <si>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</si>
  <si>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</si>
  <si>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</si>
  <si>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</si>
  <si>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</si>
  <si>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</si>
  <si>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</si>
  <si>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</si>
  <si>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</si>
  <si>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</si>
  <si>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</si>
  <si>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</si>
  <si>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</si>
  <si>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</si>
  <si>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</si>
  <si>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</si>
  <si>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</si>
  <si>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</si>
  <si>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</si>
  <si>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</si>
  <si>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</si>
  <si>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</si>
  <si>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</si>
  <si>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</si>
  <si>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</si>
  <si>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</si>
  <si>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</si>
  <si>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</si>
  <si>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</si>
  <si>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</si>
  <si>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</si>
  <si>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</si>
  <si>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</si>
  <si>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</si>
  <si>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</si>
  <si>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</si>
  <si>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</si>
  <si>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</si>
  <si>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</si>
  <si>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</si>
  <si>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</si>
  <si>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</si>
  <si>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</si>
  <si>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</si>
  <si>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</si>
  <si>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</si>
  <si>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</si>
  <si>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</si>
  <si>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</si>
  <si>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</si>
  <si>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</si>
  <si>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</si>
  <si>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</si>
  <si>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</si>
  <si>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</si>
  <si>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</si>
  <si>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</si>
  <si>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</si>
  <si>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</si>
  <si>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</si>
  <si>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</si>
  <si>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</si>
  <si>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</si>
  <si>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</si>
  <si>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</si>
  <si>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</si>
  <si>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</si>
  <si>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</si>
  <si>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</si>
  <si>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</si>
  <si>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</si>
  <si>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</si>
  <si>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</si>
  <si>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</si>
  <si>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</si>
  <si>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</si>
  <si>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</si>
  <si>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</si>
  <si>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</si>
  <si>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</si>
  <si>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</si>
  <si>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</si>
  <si>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</si>
  <si>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</si>
  <si>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</si>
  <si>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</si>
  <si>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</si>
  <si>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</si>
  <si>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</si>
  <si>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</si>
  <si>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</si>
  <si>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</si>
  <si>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</si>
  <si>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</si>
  <si>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</si>
  <si>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</si>
  <si>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</si>
  <si>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</si>
  <si>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</si>
  <si>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</si>
  <si>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</si>
  <si>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</si>
  <si>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</si>
  <si>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</si>
  <si>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</si>
  <si>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</si>
  <si>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</si>
  <si>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</si>
  <si>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</si>
  <si>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</si>
  <si>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</si>
  <si>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</si>
  <si>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</si>
  <si>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</si>
  <si>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</si>
  <si>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</si>
  <si>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</si>
  <si>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</si>
  <si>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</si>
  <si>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</si>
  <si>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</si>
  <si>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</si>
  <si>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</si>
  <si>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</si>
  <si>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</si>
  <si>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</si>
  <si>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</si>
  <si>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</si>
  <si>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</si>
  <si>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</si>
  <si>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</si>
  <si>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</si>
  <si>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</si>
  <si>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</si>
  <si>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</si>
  <si>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</si>
  <si>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</si>
  <si>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</si>
  <si>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</si>
  <si>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</si>
  <si>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</si>
  <si>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</si>
  <si>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</si>
  <si>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</si>
  <si>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</si>
  <si>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</si>
  <si>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</si>
  <si>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</si>
  <si>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</si>
  <si>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</si>
  <si>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</si>
  <si>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</si>
  <si>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</si>
  <si>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</si>
  <si>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</si>
  <si>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</si>
  <si>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</si>
  <si>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</si>
  <si>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</si>
  <si>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</si>
  <si>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</si>
  <si>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</si>
  <si>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</si>
  <si>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</si>
  <si>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</si>
  <si>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</si>
  <si>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</si>
  <si>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</si>
  <si>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</si>
  <si>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</si>
  <si>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</si>
  <si>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</si>
  <si>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</si>
  <si>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</si>
  <si>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</si>
  <si>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</si>
  <si>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</si>
  <si>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</si>
  <si>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</si>
  <si>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</si>
  <si>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</si>
  <si>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</si>
  <si>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</si>
  <si>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</si>
  <si>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</si>
  <si>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</si>
  <si>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</si>
  <si>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</si>
  <si>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</si>
  <si>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</si>
  <si>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</si>
  <si>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</si>
  <si>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</si>
  <si>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</si>
  <si>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</si>
  <si>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</si>
  <si>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</si>
  <si>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</si>
  <si>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</si>
  <si>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</si>
  <si>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</si>
  <si>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</si>
  <si>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</si>
  <si>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</si>
  <si>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</si>
  <si>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</si>
  <si>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</si>
  <si>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</si>
  <si>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</si>
  <si>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</si>
  <si>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</si>
  <si>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</si>
  <si>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</si>
  <si>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</si>
  <si>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</si>
  <si>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</si>
  <si>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</si>
  <si>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</si>
  <si>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</si>
  <si>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</si>
  <si>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</si>
  <si>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</si>
  <si>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</si>
  <si>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</si>
  <si>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</si>
  <si>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</si>
  <si>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</si>
  <si>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</si>
  <si>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</si>
  <si>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</si>
  <si>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</si>
  <si>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</si>
  <si>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</si>
  <si>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</si>
  <si>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</si>
  <si>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</si>
  <si>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</si>
  <si>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</si>
  <si>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</si>
  <si>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</si>
  <si>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</si>
  <si>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</si>
  <si>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</si>
  <si>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</si>
  <si>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</si>
  <si>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</si>
  <si>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</si>
  <si>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</si>
  <si>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</si>
  <si>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</si>
  <si>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</si>
  <si>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</si>
  <si>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</si>
  <si>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</si>
  <si>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</si>
  <si>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</si>
  <si>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</si>
  <si>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</si>
  <si>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</si>
  <si>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</si>
  <si>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</si>
  <si>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</si>
  <si>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</si>
  <si>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</si>
  <si>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</si>
  <si>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</si>
  <si>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</si>
  <si>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</si>
  <si>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</si>
  <si>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</si>
  <si>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</si>
  <si>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</si>
  <si>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</si>
  <si>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</si>
  <si>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</si>
  <si>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</si>
  <si>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</si>
  <si>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</si>
  <si>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</si>
  <si>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</si>
  <si>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</si>
  <si>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</si>
  <si>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</si>
  <si>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</si>
  <si>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</si>
  <si>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</si>
  <si>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</si>
  <si>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</si>
  <si>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</si>
  <si>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</si>
  <si>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</si>
  <si>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</si>
  <si>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</si>
  <si>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</si>
  <si>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</si>
  <si>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</si>
  <si>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</si>
  <si>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</si>
  <si>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</si>
  <si>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</si>
  <si>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</si>
  <si>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</si>
  <si>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</si>
  <si>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</si>
  <si>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</si>
  <si>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</si>
  <si>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</si>
  <si>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</si>
  <si>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</si>
  <si>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</si>
  <si>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</si>
  <si>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</si>
  <si>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</si>
  <si>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</si>
  <si>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</si>
  <si>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</si>
  <si>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</si>
  <si>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</si>
  <si>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</si>
  <si>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</si>
  <si>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</si>
  <si>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</si>
  <si>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</si>
  <si>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</si>
  <si>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</si>
  <si>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</si>
  <si>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</si>
  <si>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</si>
  <si>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</si>
  <si>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</si>
  <si>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</si>
  <si>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</si>
  <si>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</si>
  <si>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</si>
  <si>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</si>
  <si>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</si>
  <si>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</si>
  <si>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</si>
  <si>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</si>
  <si>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</si>
  <si>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</si>
  <si>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</si>
  <si>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</si>
  <si>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</si>
  <si>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</si>
  <si>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</si>
  <si>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</si>
  <si>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</si>
  <si>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</si>
  <si>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</si>
  <si>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</si>
  <si>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</si>
  <si>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</si>
  <si>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</si>
  <si>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</si>
  <si>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</si>
  <si>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</si>
  <si>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</si>
  <si>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</si>
  <si>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</si>
  <si>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</si>
  <si>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</si>
  <si>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</si>
  <si>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</si>
  <si>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</si>
  <si>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</si>
  <si>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</si>
  <si>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</si>
  <si>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</si>
  <si>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</si>
  <si>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</si>
  <si>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</si>
  <si>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</si>
  <si>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</si>
  <si>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</si>
  <si>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</si>
  <si>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</si>
  <si>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</si>
  <si>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</si>
  <si>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</si>
  <si>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</si>
  <si>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</si>
  <si>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</si>
  <si>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</si>
  <si>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</si>
  <si>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</si>
  <si>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</si>
  <si>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</si>
  <si>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</si>
  <si>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</si>
  <si>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</si>
  <si>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</si>
  <si>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</si>
  <si>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</si>
  <si>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</si>
  <si>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</si>
  <si>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</si>
  <si>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</si>
  <si>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</si>
  <si>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</si>
  <si>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</si>
  <si>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</si>
  <si>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</si>
  <si>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</si>
  <si>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</si>
  <si>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</si>
  <si>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</si>
  <si>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</si>
  <si>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</si>
  <si>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</si>
  <si>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</si>
  <si>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</si>
  <si>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</si>
  <si>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</si>
  <si>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</si>
  <si>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</si>
  <si>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</si>
  <si>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</si>
  <si>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</si>
  <si>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</si>
  <si>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</si>
  <si>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</si>
  <si>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</si>
  <si>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</si>
  <si>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</si>
  <si>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</si>
  <si>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</si>
  <si>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</si>
  <si>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</si>
  <si>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</si>
  <si>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</si>
  <si>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</si>
  <si>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</si>
  <si>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</si>
  <si>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</si>
  <si>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</si>
  <si>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</si>
  <si>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</si>
  <si>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</si>
  <si>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</si>
  <si>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</si>
  <si>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</si>
  <si>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</si>
  <si>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</si>
  <si>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</si>
  <si>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</si>
  <si>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</si>
  <si>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</si>
  <si>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</si>
  <si>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</si>
  <si>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</si>
  <si>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</si>
  <si>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</si>
  <si>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</si>
  <si>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</si>
  <si>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</si>
  <si>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</si>
  <si>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</si>
  <si>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</si>
  <si>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</si>
  <si>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</si>
  <si>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</si>
  <si>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</si>
  <si>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</si>
  <si>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</si>
  <si>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</si>
  <si>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</si>
  <si>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</si>
  <si>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</si>
  <si>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</si>
  <si>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</si>
  <si>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</si>
  <si>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</si>
  <si>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</si>
  <si>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</si>
  <si>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</si>
  <si>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</si>
  <si>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</si>
  <si>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</si>
  <si>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</si>
  <si>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</si>
  <si>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</si>
  <si>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</si>
  <si>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</si>
  <si>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</si>
  <si>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</si>
  <si>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</si>
  <si>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</si>
  <si>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</si>
  <si>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</si>
  <si>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</si>
  <si>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</si>
  <si>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</si>
  <si>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</si>
  <si>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</si>
  <si>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</si>
  <si>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</si>
  <si>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</si>
  <si>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</si>
  <si>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</si>
  <si>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</si>
  <si>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</si>
  <si>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</si>
  <si>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</si>
  <si>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</si>
  <si>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</si>
  <si>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</si>
  <si>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</si>
  <si>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</si>
  <si>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</si>
  <si>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</si>
  <si>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</si>
  <si>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</si>
  <si>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</si>
  <si>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</si>
  <si>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</si>
  <si>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</si>
  <si>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</si>
  <si>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</si>
  <si>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</si>
  <si>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</si>
  <si>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</si>
  <si>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</si>
  <si>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</si>
  <si>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</si>
  <si>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</si>
  <si>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</si>
  <si>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</si>
  <si>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</si>
  <si>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</si>
  <si>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</si>
  <si>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</si>
  <si>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</si>
  <si>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</si>
  <si>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</si>
  <si>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</si>
  <si>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</si>
  <si>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</si>
  <si>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</si>
  <si>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</si>
  <si>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</si>
  <si>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</si>
  <si>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</si>
  <si>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</si>
  <si>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</si>
  <si>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</si>
  <si>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</si>
  <si>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</si>
  <si>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</si>
  <si>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</si>
  <si>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</si>
  <si>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</si>
  <si>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</si>
  <si>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</si>
  <si>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</si>
  <si>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</si>
  <si>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</si>
  <si>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</si>
  <si>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</si>
  <si>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</si>
  <si>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</si>
  <si>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</si>
  <si>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</si>
  <si>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</si>
  <si>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</si>
  <si>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</si>
  <si>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</si>
  <si>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</si>
  <si>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</si>
  <si>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</si>
  <si>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</si>
  <si>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</si>
  <si>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</si>
  <si>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</si>
  <si>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</si>
  <si>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</si>
  <si>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</si>
  <si>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</si>
  <si>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</si>
  <si>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</si>
  <si>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</si>
  <si>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</si>
  <si>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</si>
  <si>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</si>
  <si>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</si>
  <si>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</si>
  <si>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</si>
  <si>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</si>
  <si>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</si>
  <si>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</si>
  <si>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</si>
  <si>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</si>
  <si>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</si>
  <si>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</si>
  <si>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</si>
  <si>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</si>
  <si>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</si>
  <si>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</si>
  <si>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</si>
  <si>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</si>
  <si>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</si>
  <si>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</si>
  <si>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</si>
  <si>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</si>
  <si>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</si>
  <si>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</si>
  <si>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</si>
  <si>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</si>
  <si>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</si>
  <si>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</si>
  <si>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</si>
  <si>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</si>
  <si>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</si>
  <si>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</si>
  <si>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</si>
  <si>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</si>
  <si>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</si>
  <si>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</si>
  <si>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</si>
  <si>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</si>
  <si>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</si>
  <si>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</si>
  <si>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</si>
  <si>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</si>
  <si>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</si>
  <si>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</si>
  <si>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</si>
  <si>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</si>
  <si>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</si>
  <si>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</si>
  <si>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</si>
  <si>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</si>
  <si>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</si>
  <si>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</si>
  <si>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</si>
  <si>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</si>
  <si>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</si>
  <si>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</si>
  <si>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</si>
  <si>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</si>
  <si>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</si>
  <si>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</si>
  <si>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</si>
  <si>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</si>
  <si>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</si>
  <si>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</si>
  <si>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</si>
  <si>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</si>
  <si>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</si>
  <si>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</si>
  <si>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</si>
  <si>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</si>
  <si>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</si>
  <si>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</si>
  <si>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</si>
  <si>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</si>
  <si>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</si>
  <si>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</si>
  <si>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</si>
  <si>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</si>
  <si>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</si>
  <si>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</si>
  <si>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</si>
  <si>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</si>
  <si>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</si>
  <si>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</si>
  <si>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</si>
  <si>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</si>
  <si>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</si>
  <si>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</si>
  <si>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</si>
  <si>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</si>
  <si>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</si>
  <si>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</si>
  <si>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</si>
  <si>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</si>
  <si>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</si>
  <si>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</si>
  <si>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</si>
  <si>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</si>
  <si>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</si>
  <si>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</si>
  <si>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</si>
  <si>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</si>
  <si>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</si>
  <si>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</si>
  <si>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</si>
  <si>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</si>
  <si>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</si>
  <si>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</si>
  <si>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</si>
  <si>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</si>
  <si>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</si>
  <si>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</si>
  <si>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</si>
  <si>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</si>
  <si>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</si>
  <si>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</si>
  <si>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</si>
  <si>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</si>
  <si>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</si>
  <si>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</si>
  <si>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</si>
  <si>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</si>
  <si>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</si>
  <si>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</si>
  <si>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</si>
  <si>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</si>
  <si>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</si>
  <si>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</si>
  <si>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</si>
  <si>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</si>
  <si>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</si>
  <si>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</si>
  <si>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</si>
  <si>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</si>
  <si>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13049</t>
  </si>
  <si>
    <t>WESTERLO</t>
  </si>
  <si>
    <t>vloeibaar gas (MWh)</t>
  </si>
  <si>
    <t>interne verbrandingsmotor</t>
  </si>
  <si>
    <t>WKK interne verbrandinsgmotor (gas)</t>
  </si>
  <si>
    <t>IVEKA</t>
  </si>
  <si>
    <t>brandstofcel</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</si>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</sst>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0843ADFD-938E-43E2-8C50-338EE93E5A1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212918.58034799888</c:v>
                </c:pt>
                <c:pt idx="1">
                  <c:v>83735.377855483966</c:v>
                </c:pt>
                <c:pt idx="2">
                  <c:v>2121.6379999999999</c:v>
                </c:pt>
                <c:pt idx="3">
                  <c:v>26235.135021601371</c:v>
                </c:pt>
                <c:pt idx="4">
                  <c:v>201272.6881088113</c:v>
                </c:pt>
                <c:pt idx="5">
                  <c:v>210646.56922740291</c:v>
                </c:pt>
                <c:pt idx="6">
                  <c:v>1873.8509139534121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212918.58034799888</c:v>
                </c:pt>
                <c:pt idx="1">
                  <c:v>83735.377855483966</c:v>
                </c:pt>
                <c:pt idx="2">
                  <c:v>2121.6379999999999</c:v>
                </c:pt>
                <c:pt idx="3">
                  <c:v>26235.135021601371</c:v>
                </c:pt>
                <c:pt idx="4">
                  <c:v>201272.6881088113</c:v>
                </c:pt>
                <c:pt idx="5">
                  <c:v>210646.56922740291</c:v>
                </c:pt>
                <c:pt idx="6">
                  <c:v>1873.8509139534121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42165.45689423295</c:v>
                </c:pt>
                <c:pt idx="2">
                  <c:v>16663.342914096029</c:v>
                </c:pt>
                <c:pt idx="3">
                  <c:v>386.38142489045106</c:v>
                </c:pt>
                <c:pt idx="4">
                  <c:v>6537.3033095552364</c:v>
                </c:pt>
                <c:pt idx="5">
                  <c:v>39297.399264500149</c:v>
                </c:pt>
                <c:pt idx="6">
                  <c:v>52729.780250461903</c:v>
                </c:pt>
                <c:pt idx="7">
                  <c:v>471.76161338372668</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42165.45689423295</c:v>
                </c:pt>
                <c:pt idx="2">
                  <c:v>16663.342914096029</c:v>
                </c:pt>
                <c:pt idx="3">
                  <c:v>386.38142489045106</c:v>
                </c:pt>
                <c:pt idx="4">
                  <c:v>6537.3033095552364</c:v>
                </c:pt>
                <c:pt idx="5">
                  <c:v>39297.399264500149</c:v>
                </c:pt>
                <c:pt idx="6">
                  <c:v>52729.780250461903</c:v>
                </c:pt>
                <c:pt idx="7">
                  <c:v>471.76161338372668</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13049</v>
      </c>
      <c r="B6" s="380"/>
      <c r="C6" s="381"/>
    </row>
    <row r="7" spans="1:7" s="378" customFormat="1" ht="15.75" customHeight="1">
      <c r="A7" s="382" t="str">
        <f>txtMunicipality</f>
        <v>WESTERLO</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0.18211467973822634</v>
      </c>
      <c r="C17" s="488">
        <f ca="1">'EF ele_warmte'!B22</f>
        <v>0.23762572643642477</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0.18211467973822634</v>
      </c>
      <c r="C29" s="489">
        <f ca="1">'EF ele_warmte'!B22</f>
        <v>0.23762572643642477</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10215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2260.04</v>
      </c>
      <c r="C14" s="322"/>
      <c r="D14" s="322"/>
      <c r="E14" s="322"/>
      <c r="F14" s="322"/>
    </row>
    <row r="15" spans="1:6">
      <c r="A15" s="1248" t="s">
        <v>177</v>
      </c>
      <c r="B15" s="1249">
        <v>3894</v>
      </c>
      <c r="C15" s="322"/>
      <c r="D15" s="322"/>
      <c r="E15" s="322"/>
      <c r="F15" s="322"/>
    </row>
    <row r="16" spans="1:6">
      <c r="A16" s="1248" t="s">
        <v>6</v>
      </c>
      <c r="B16" s="1249">
        <v>1858</v>
      </c>
      <c r="C16" s="322"/>
      <c r="D16" s="322"/>
      <c r="E16" s="322"/>
      <c r="F16" s="322"/>
    </row>
    <row r="17" spans="1:6">
      <c r="A17" s="1248" t="s">
        <v>7</v>
      </c>
      <c r="B17" s="1249">
        <v>183</v>
      </c>
      <c r="C17" s="322"/>
      <c r="D17" s="322"/>
      <c r="E17" s="322"/>
      <c r="F17" s="322"/>
    </row>
    <row r="18" spans="1:6">
      <c r="A18" s="1248" t="s">
        <v>8</v>
      </c>
      <c r="B18" s="1249">
        <v>1178</v>
      </c>
      <c r="C18" s="322"/>
      <c r="D18" s="322"/>
      <c r="E18" s="322"/>
      <c r="F18" s="322"/>
    </row>
    <row r="19" spans="1:6">
      <c r="A19" s="1248" t="s">
        <v>9</v>
      </c>
      <c r="B19" s="1249">
        <v>1126</v>
      </c>
      <c r="C19" s="322"/>
      <c r="D19" s="322"/>
      <c r="E19" s="322"/>
      <c r="F19" s="322"/>
    </row>
    <row r="20" spans="1:6">
      <c r="A20" s="1248" t="s">
        <v>10</v>
      </c>
      <c r="B20" s="1249">
        <v>955</v>
      </c>
      <c r="C20" s="322"/>
      <c r="D20" s="322"/>
      <c r="E20" s="322"/>
      <c r="F20" s="322"/>
    </row>
    <row r="21" spans="1:6">
      <c r="A21" s="1248" t="s">
        <v>11</v>
      </c>
      <c r="B21" s="1249">
        <v>1123</v>
      </c>
      <c r="C21" s="322"/>
      <c r="D21" s="322"/>
      <c r="E21" s="322"/>
      <c r="F21" s="322"/>
    </row>
    <row r="22" spans="1:6">
      <c r="A22" s="1248" t="s">
        <v>12</v>
      </c>
      <c r="B22" s="1249">
        <v>1918</v>
      </c>
      <c r="C22" s="322"/>
      <c r="D22" s="322"/>
      <c r="E22" s="322"/>
      <c r="F22" s="322"/>
    </row>
    <row r="23" spans="1:6">
      <c r="A23" s="1248" t="s">
        <v>13</v>
      </c>
      <c r="B23" s="1249">
        <v>108</v>
      </c>
      <c r="C23" s="322"/>
      <c r="D23" s="322"/>
      <c r="E23" s="322"/>
      <c r="F23" s="322"/>
    </row>
    <row r="24" spans="1:6">
      <c r="A24" s="1248" t="s">
        <v>14</v>
      </c>
      <c r="B24" s="1249">
        <v>0</v>
      </c>
      <c r="C24" s="322"/>
      <c r="D24" s="322"/>
      <c r="E24" s="322"/>
      <c r="F24" s="322"/>
    </row>
    <row r="25" spans="1:6">
      <c r="A25" s="1248" t="s">
        <v>15</v>
      </c>
      <c r="B25" s="1249">
        <v>202</v>
      </c>
      <c r="C25" s="322"/>
      <c r="D25" s="322"/>
      <c r="E25" s="322"/>
      <c r="F25" s="322"/>
    </row>
    <row r="26" spans="1:6">
      <c r="A26" s="1248" t="s">
        <v>16</v>
      </c>
      <c r="B26" s="1249">
        <v>85</v>
      </c>
      <c r="C26" s="322"/>
      <c r="D26" s="322"/>
      <c r="E26" s="322"/>
      <c r="F26" s="322"/>
    </row>
    <row r="27" spans="1:6">
      <c r="A27" s="1248" t="s">
        <v>17</v>
      </c>
      <c r="B27" s="1249">
        <v>5</v>
      </c>
      <c r="C27" s="322"/>
      <c r="D27" s="322"/>
      <c r="E27" s="322"/>
      <c r="F27" s="322"/>
    </row>
    <row r="28" spans="1:6">
      <c r="A28" s="1248" t="s">
        <v>18</v>
      </c>
      <c r="B28" s="1250">
        <v>6009</v>
      </c>
      <c r="C28" s="322"/>
      <c r="D28" s="322"/>
      <c r="E28" s="322"/>
      <c r="F28" s="322"/>
    </row>
    <row r="29" spans="1:6">
      <c r="A29" s="1248" t="s">
        <v>691</v>
      </c>
      <c r="B29" s="1250">
        <v>264</v>
      </c>
      <c r="C29" s="322"/>
      <c r="D29" s="322"/>
      <c r="E29" s="322"/>
      <c r="F29" s="322"/>
    </row>
    <row r="30" spans="1:6">
      <c r="A30" s="1243" t="s">
        <v>692</v>
      </c>
      <c r="B30" s="1251">
        <v>66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4</v>
      </c>
      <c r="D36" s="1249">
        <v>564480.746771381</v>
      </c>
      <c r="E36" s="1249">
        <v>3</v>
      </c>
      <c r="F36" s="1249">
        <v>4560.5208191831998</v>
      </c>
    </row>
    <row r="37" spans="1:6">
      <c r="A37" s="1248" t="s">
        <v>24</v>
      </c>
      <c r="B37" s="1248" t="s">
        <v>27</v>
      </c>
      <c r="C37" s="1249">
        <v>0</v>
      </c>
      <c r="D37" s="1249">
        <v>0</v>
      </c>
      <c r="E37" s="1249">
        <v>0</v>
      </c>
      <c r="F37" s="1249">
        <v>0</v>
      </c>
    </row>
    <row r="38" spans="1:6">
      <c r="A38" s="1248" t="s">
        <v>24</v>
      </c>
      <c r="B38" s="1248" t="s">
        <v>28</v>
      </c>
      <c r="C38" s="1249">
        <v>1</v>
      </c>
      <c r="D38" s="1249">
        <v>11571.8312906581</v>
      </c>
      <c r="E38" s="1249">
        <v>4</v>
      </c>
      <c r="F38" s="1249">
        <v>53180.160035997003</v>
      </c>
    </row>
    <row r="39" spans="1:6">
      <c r="A39" s="1248" t="s">
        <v>29</v>
      </c>
      <c r="B39" s="1248" t="s">
        <v>30</v>
      </c>
      <c r="C39" s="1249">
        <v>6571</v>
      </c>
      <c r="D39" s="1249">
        <v>110543085.823045</v>
      </c>
      <c r="E39" s="1249">
        <v>10108</v>
      </c>
      <c r="F39" s="1249">
        <v>33240408.780633099</v>
      </c>
    </row>
    <row r="40" spans="1:6">
      <c r="A40" s="1248" t="s">
        <v>29</v>
      </c>
      <c r="B40" s="1248" t="s">
        <v>28</v>
      </c>
      <c r="C40" s="1249">
        <v>1</v>
      </c>
      <c r="D40" s="1249">
        <v>16880.843106724798</v>
      </c>
      <c r="E40" s="1249">
        <v>1</v>
      </c>
      <c r="F40" s="1249">
        <v>1500</v>
      </c>
    </row>
    <row r="41" spans="1:6">
      <c r="A41" s="1248" t="s">
        <v>31</v>
      </c>
      <c r="B41" s="1248" t="s">
        <v>32</v>
      </c>
      <c r="C41" s="1249">
        <v>77</v>
      </c>
      <c r="D41" s="1249">
        <v>1888676.17273533</v>
      </c>
      <c r="E41" s="1249">
        <v>169</v>
      </c>
      <c r="F41" s="1249">
        <v>1694445.97274185</v>
      </c>
    </row>
    <row r="42" spans="1:6">
      <c r="A42" s="1248" t="s">
        <v>31</v>
      </c>
      <c r="B42" s="1248" t="s">
        <v>33</v>
      </c>
      <c r="C42" s="1249">
        <v>0</v>
      </c>
      <c r="D42" s="1249">
        <v>0</v>
      </c>
      <c r="E42" s="1249">
        <v>3</v>
      </c>
      <c r="F42" s="1249">
        <v>8955826.5561367795</v>
      </c>
    </row>
    <row r="43" spans="1:6">
      <c r="A43" s="1248" t="s">
        <v>31</v>
      </c>
      <c r="B43" s="1248" t="s">
        <v>34</v>
      </c>
      <c r="C43" s="1249">
        <v>0</v>
      </c>
      <c r="D43" s="1249">
        <v>0</v>
      </c>
      <c r="E43" s="1249">
        <v>0</v>
      </c>
      <c r="F43" s="1249">
        <v>0</v>
      </c>
    </row>
    <row r="44" spans="1:6">
      <c r="A44" s="1248" t="s">
        <v>31</v>
      </c>
      <c r="B44" s="1248" t="s">
        <v>35</v>
      </c>
      <c r="C44" s="1249">
        <v>3</v>
      </c>
      <c r="D44" s="1249">
        <v>107817.93060741801</v>
      </c>
      <c r="E44" s="1249">
        <v>28</v>
      </c>
      <c r="F44" s="1249">
        <v>577404.39741569001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44557.626783378997</v>
      </c>
      <c r="E47" s="1249">
        <v>3</v>
      </c>
      <c r="F47" s="1249">
        <v>10377.110629819799</v>
      </c>
    </row>
    <row r="48" spans="1:6">
      <c r="A48" s="1248" t="s">
        <v>31</v>
      </c>
      <c r="B48" s="1248" t="s">
        <v>28</v>
      </c>
      <c r="C48" s="1249">
        <v>38</v>
      </c>
      <c r="D48" s="1249">
        <v>58441303.708671503</v>
      </c>
      <c r="E48" s="1249">
        <v>42</v>
      </c>
      <c r="F48" s="1249">
        <v>103942725.42453299</v>
      </c>
    </row>
    <row r="49" spans="1:6">
      <c r="A49" s="1248" t="s">
        <v>31</v>
      </c>
      <c r="B49" s="1248" t="s">
        <v>39</v>
      </c>
      <c r="C49" s="1249">
        <v>0</v>
      </c>
      <c r="D49" s="1249">
        <v>0</v>
      </c>
      <c r="E49" s="1249">
        <v>0</v>
      </c>
      <c r="F49" s="1249">
        <v>0</v>
      </c>
    </row>
    <row r="50" spans="1:6">
      <c r="A50" s="1248" t="s">
        <v>31</v>
      </c>
      <c r="B50" s="1248" t="s">
        <v>40</v>
      </c>
      <c r="C50" s="1249">
        <v>10</v>
      </c>
      <c r="D50" s="1249">
        <v>597142.90274220298</v>
      </c>
      <c r="E50" s="1249">
        <v>17</v>
      </c>
      <c r="F50" s="1249">
        <v>939914.49887427397</v>
      </c>
    </row>
    <row r="51" spans="1:6">
      <c r="A51" s="1248" t="s">
        <v>41</v>
      </c>
      <c r="B51" s="1248" t="s">
        <v>42</v>
      </c>
      <c r="C51" s="1249">
        <v>0</v>
      </c>
      <c r="D51" s="1249">
        <v>0</v>
      </c>
      <c r="E51" s="1249">
        <v>59</v>
      </c>
      <c r="F51" s="1249">
        <v>1288646.0125780299</v>
      </c>
    </row>
    <row r="52" spans="1:6">
      <c r="A52" s="1248" t="s">
        <v>41</v>
      </c>
      <c r="B52" s="1248" t="s">
        <v>28</v>
      </c>
      <c r="C52" s="1249">
        <v>10</v>
      </c>
      <c r="D52" s="1249">
        <v>16874706.925778098</v>
      </c>
      <c r="E52" s="1249">
        <v>12</v>
      </c>
      <c r="F52" s="1249">
        <v>2430771.6076932601</v>
      </c>
    </row>
    <row r="53" spans="1:6">
      <c r="A53" s="1248" t="s">
        <v>43</v>
      </c>
      <c r="B53" s="1248" t="s">
        <v>44</v>
      </c>
      <c r="C53" s="1249">
        <v>118</v>
      </c>
      <c r="D53" s="1249">
        <v>4889951.4305685097</v>
      </c>
      <c r="E53" s="1249">
        <v>299</v>
      </c>
      <c r="F53" s="1249">
        <v>1148529.0031499099</v>
      </c>
    </row>
    <row r="54" spans="1:6">
      <c r="A54" s="1248" t="s">
        <v>45</v>
      </c>
      <c r="B54" s="1248" t="s">
        <v>46</v>
      </c>
      <c r="C54" s="1249">
        <v>0</v>
      </c>
      <c r="D54" s="1249">
        <v>0</v>
      </c>
      <c r="E54" s="1249">
        <v>1</v>
      </c>
      <c r="F54" s="1249">
        <v>2121638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95</v>
      </c>
      <c r="D57" s="1249">
        <v>9135578.6005672496</v>
      </c>
      <c r="E57" s="1249">
        <v>188</v>
      </c>
      <c r="F57" s="1249">
        <v>6200716.6429738896</v>
      </c>
    </row>
    <row r="58" spans="1:6">
      <c r="A58" s="1248" t="s">
        <v>48</v>
      </c>
      <c r="B58" s="1248" t="s">
        <v>50</v>
      </c>
      <c r="C58" s="1249">
        <v>37</v>
      </c>
      <c r="D58" s="1249">
        <v>1157277.33572453</v>
      </c>
      <c r="E58" s="1249">
        <v>57</v>
      </c>
      <c r="F58" s="1249">
        <v>500272.94297782303</v>
      </c>
    </row>
    <row r="59" spans="1:6">
      <c r="A59" s="1248" t="s">
        <v>48</v>
      </c>
      <c r="B59" s="1248" t="s">
        <v>51</v>
      </c>
      <c r="C59" s="1249">
        <v>104</v>
      </c>
      <c r="D59" s="1249">
        <v>6844809.0045217397</v>
      </c>
      <c r="E59" s="1249">
        <v>215</v>
      </c>
      <c r="F59" s="1249">
        <v>12600675.5316018</v>
      </c>
    </row>
    <row r="60" spans="1:6">
      <c r="A60" s="1248" t="s">
        <v>48</v>
      </c>
      <c r="B60" s="1248" t="s">
        <v>52</v>
      </c>
      <c r="C60" s="1249">
        <v>79</v>
      </c>
      <c r="D60" s="1249">
        <v>3455787.2705852599</v>
      </c>
      <c r="E60" s="1249">
        <v>105</v>
      </c>
      <c r="F60" s="1249">
        <v>2813678.6051646098</v>
      </c>
    </row>
    <row r="61" spans="1:6">
      <c r="A61" s="1248" t="s">
        <v>48</v>
      </c>
      <c r="B61" s="1248" t="s">
        <v>53</v>
      </c>
      <c r="C61" s="1249">
        <v>190</v>
      </c>
      <c r="D61" s="1249">
        <v>8188585.8841909403</v>
      </c>
      <c r="E61" s="1249">
        <v>355</v>
      </c>
      <c r="F61" s="1249">
        <v>10097150.5070349</v>
      </c>
    </row>
    <row r="62" spans="1:6">
      <c r="A62" s="1248" t="s">
        <v>48</v>
      </c>
      <c r="B62" s="1248" t="s">
        <v>54</v>
      </c>
      <c r="C62" s="1249">
        <v>14</v>
      </c>
      <c r="D62" s="1249">
        <v>4207816.9979116498</v>
      </c>
      <c r="E62" s="1249">
        <v>13</v>
      </c>
      <c r="F62" s="1249">
        <v>877569.41601635504</v>
      </c>
    </row>
    <row r="63" spans="1:6">
      <c r="A63" s="1248" t="s">
        <v>48</v>
      </c>
      <c r="B63" s="1248" t="s">
        <v>28</v>
      </c>
      <c r="C63" s="1249">
        <v>95</v>
      </c>
      <c r="D63" s="1249">
        <v>9003843.4769531898</v>
      </c>
      <c r="E63" s="1249">
        <v>109</v>
      </c>
      <c r="F63" s="1249">
        <v>3362589.0646029301</v>
      </c>
    </row>
    <row r="64" spans="1:6">
      <c r="A64" s="1248" t="s">
        <v>55</v>
      </c>
      <c r="B64" s="1248" t="s">
        <v>56</v>
      </c>
      <c r="C64" s="1249">
        <v>0</v>
      </c>
      <c r="D64" s="1249">
        <v>0</v>
      </c>
      <c r="E64" s="1249">
        <v>0</v>
      </c>
      <c r="F64" s="1249">
        <v>0</v>
      </c>
    </row>
    <row r="65" spans="1:6">
      <c r="A65" s="1248" t="s">
        <v>55</v>
      </c>
      <c r="B65" s="1248" t="s">
        <v>28</v>
      </c>
      <c r="C65" s="1249">
        <v>1</v>
      </c>
      <c r="D65" s="1249">
        <v>17425.933781235199</v>
      </c>
      <c r="E65" s="1249">
        <v>4</v>
      </c>
      <c r="F65" s="1249">
        <v>21645.900716566899</v>
      </c>
    </row>
    <row r="66" spans="1:6">
      <c r="A66" s="1248" t="s">
        <v>55</v>
      </c>
      <c r="B66" s="1248" t="s">
        <v>57</v>
      </c>
      <c r="C66" s="1249">
        <v>0</v>
      </c>
      <c r="D66" s="1249">
        <v>0</v>
      </c>
      <c r="E66" s="1249">
        <v>12</v>
      </c>
      <c r="F66" s="1249">
        <v>446856.13966327702</v>
      </c>
    </row>
    <row r="67" spans="1:6">
      <c r="A67" s="1248" t="s">
        <v>55</v>
      </c>
      <c r="B67" s="1248" t="s">
        <v>58</v>
      </c>
      <c r="C67" s="1249">
        <v>0</v>
      </c>
      <c r="D67" s="1249">
        <v>0</v>
      </c>
      <c r="E67" s="1249">
        <v>0</v>
      </c>
      <c r="F67" s="1249">
        <v>0</v>
      </c>
    </row>
    <row r="68" spans="1:6">
      <c r="A68" s="1243" t="s">
        <v>55</v>
      </c>
      <c r="B68" s="1243" t="s">
        <v>59</v>
      </c>
      <c r="C68" s="1251">
        <v>6</v>
      </c>
      <c r="D68" s="1251">
        <v>484438.27826647199</v>
      </c>
      <c r="E68" s="1251">
        <v>18</v>
      </c>
      <c r="F68" s="1251">
        <v>411452.47329714103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117083935</v>
      </c>
      <c r="E73" s="439"/>
      <c r="F73" s="322"/>
    </row>
    <row r="74" spans="1:6">
      <c r="A74" s="1248" t="s">
        <v>63</v>
      </c>
      <c r="B74" s="1248" t="s">
        <v>617</v>
      </c>
      <c r="C74" s="1261" t="s">
        <v>619</v>
      </c>
      <c r="D74" s="1249">
        <v>7107893</v>
      </c>
      <c r="E74" s="439"/>
      <c r="F74" s="322"/>
    </row>
    <row r="75" spans="1:6">
      <c r="A75" s="1248" t="s">
        <v>64</v>
      </c>
      <c r="B75" s="1248" t="s">
        <v>616</v>
      </c>
      <c r="C75" s="1261" t="s">
        <v>620</v>
      </c>
      <c r="D75" s="1249">
        <v>21642311</v>
      </c>
      <c r="E75" s="439"/>
      <c r="F75" s="322"/>
    </row>
    <row r="76" spans="1:6">
      <c r="A76" s="1248" t="s">
        <v>64</v>
      </c>
      <c r="B76" s="1248" t="s">
        <v>617</v>
      </c>
      <c r="C76" s="1261" t="s">
        <v>621</v>
      </c>
      <c r="D76" s="1249">
        <v>316645</v>
      </c>
      <c r="E76" s="439"/>
      <c r="F76" s="322"/>
    </row>
    <row r="77" spans="1:6">
      <c r="A77" s="1248" t="s">
        <v>65</v>
      </c>
      <c r="B77" s="1248" t="s">
        <v>616</v>
      </c>
      <c r="C77" s="1261" t="s">
        <v>622</v>
      </c>
      <c r="D77" s="1249">
        <v>91436361</v>
      </c>
      <c r="E77" s="439"/>
      <c r="F77" s="322"/>
    </row>
    <row r="78" spans="1:6">
      <c r="A78" s="1243" t="s">
        <v>65</v>
      </c>
      <c r="B78" s="1243" t="s">
        <v>617</v>
      </c>
      <c r="C78" s="1243" t="s">
        <v>623</v>
      </c>
      <c r="D78" s="1251">
        <v>14133488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509662</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19635.908627902805</v>
      </c>
      <c r="C90" s="322"/>
      <c r="D90" s="322"/>
      <c r="E90" s="322"/>
      <c r="F90" s="322"/>
    </row>
    <row r="91" spans="1:6">
      <c r="A91" s="1248" t="s">
        <v>67</v>
      </c>
      <c r="B91" s="1249">
        <v>6954.2146013789315</v>
      </c>
      <c r="C91" s="322"/>
      <c r="D91" s="322"/>
      <c r="E91" s="322"/>
      <c r="F91" s="322"/>
    </row>
    <row r="92" spans="1:6">
      <c r="A92" s="1243" t="s">
        <v>68</v>
      </c>
      <c r="B92" s="1244">
        <v>7874.9196612000915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3611</v>
      </c>
      <c r="C97" s="322"/>
      <c r="D97" s="322"/>
      <c r="E97" s="322"/>
      <c r="F97" s="322"/>
    </row>
    <row r="98" spans="1:6">
      <c r="A98" s="1248" t="s">
        <v>71</v>
      </c>
      <c r="B98" s="1249">
        <v>8</v>
      </c>
      <c r="C98" s="322"/>
      <c r="D98" s="322"/>
      <c r="E98" s="322"/>
      <c r="F98" s="322"/>
    </row>
    <row r="99" spans="1:6">
      <c r="A99" s="1248" t="s">
        <v>72</v>
      </c>
      <c r="B99" s="1249">
        <v>95</v>
      </c>
      <c r="C99" s="322"/>
      <c r="D99" s="322"/>
      <c r="E99" s="322"/>
      <c r="F99" s="322"/>
    </row>
    <row r="100" spans="1:6">
      <c r="A100" s="1248" t="s">
        <v>73</v>
      </c>
      <c r="B100" s="1249">
        <v>255</v>
      </c>
      <c r="C100" s="322"/>
      <c r="D100" s="322"/>
      <c r="E100" s="322"/>
      <c r="F100" s="322"/>
    </row>
    <row r="101" spans="1:6">
      <c r="A101" s="1248" t="s">
        <v>74</v>
      </c>
      <c r="B101" s="1249">
        <v>106</v>
      </c>
      <c r="C101" s="322"/>
      <c r="D101" s="322"/>
      <c r="E101" s="322"/>
      <c r="F101" s="322"/>
    </row>
    <row r="102" spans="1:6">
      <c r="A102" s="1248" t="s">
        <v>75</v>
      </c>
      <c r="B102" s="1249">
        <v>81</v>
      </c>
      <c r="C102" s="322"/>
      <c r="D102" s="322"/>
      <c r="E102" s="322"/>
      <c r="F102" s="322"/>
    </row>
    <row r="103" spans="1:6">
      <c r="A103" s="1248" t="s">
        <v>76</v>
      </c>
      <c r="B103" s="1249">
        <v>196</v>
      </c>
      <c r="C103" s="322"/>
      <c r="D103" s="322"/>
      <c r="E103" s="322"/>
      <c r="F103" s="322"/>
    </row>
    <row r="104" spans="1:6">
      <c r="A104" s="1248" t="s">
        <v>77</v>
      </c>
      <c r="B104" s="1249">
        <v>3988</v>
      </c>
      <c r="C104" s="322"/>
      <c r="D104" s="322"/>
      <c r="E104" s="322"/>
      <c r="F104" s="322"/>
    </row>
    <row r="105" spans="1:6">
      <c r="A105" s="1243" t="s">
        <v>78</v>
      </c>
      <c r="B105" s="1251">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3</v>
      </c>
      <c r="C110" s="322"/>
      <c r="D110" s="322"/>
      <c r="E110" s="322"/>
      <c r="F110" s="322"/>
    </row>
    <row r="111" spans="1:6">
      <c r="A111" s="1266" t="s">
        <v>608</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107</v>
      </c>
      <c r="C123" s="1249">
        <v>29</v>
      </c>
      <c r="D123" s="322"/>
      <c r="E123" s="322"/>
      <c r="F123" s="322"/>
    </row>
    <row r="124" spans="1:6">
      <c r="A124" s="1248" t="s">
        <v>88</v>
      </c>
      <c r="B124" s="1249">
        <v>2</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192</v>
      </c>
      <c r="C129" s="322"/>
      <c r="D129" s="322"/>
      <c r="E129" s="322"/>
      <c r="F129" s="322"/>
    </row>
    <row r="130" spans="1:6">
      <c r="A130" s="1248" t="s">
        <v>283</v>
      </c>
      <c r="B130" s="1249">
        <v>5</v>
      </c>
      <c r="C130" s="322"/>
      <c r="D130" s="322"/>
      <c r="E130" s="322"/>
      <c r="F130" s="322"/>
    </row>
    <row r="131" spans="1:6">
      <c r="A131" s="1248" t="s">
        <v>284</v>
      </c>
      <c r="B131" s="1249">
        <v>0</v>
      </c>
      <c r="C131" s="322"/>
      <c r="D131" s="322"/>
      <c r="E131" s="322"/>
      <c r="F131" s="322"/>
    </row>
    <row r="132" spans="1:6">
      <c r="A132" s="1243" t="s">
        <v>285</v>
      </c>
      <c r="B132" s="1244">
        <v>43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201246.4979977516</v>
      </c>
      <c r="C3" s="43" t="s">
        <v>163</v>
      </c>
      <c r="D3" s="43"/>
      <c r="E3" s="153"/>
      <c r="F3" s="43"/>
      <c r="G3" s="43"/>
      <c r="H3" s="43"/>
      <c r="I3" s="43"/>
      <c r="J3" s="43"/>
      <c r="K3" s="96"/>
    </row>
    <row r="4" spans="1:11">
      <c r="A4" s="348" t="s">
        <v>164</v>
      </c>
      <c r="B4" s="49">
        <f>IF(ISERROR('SEAP template'!B78+'SEAP template'!C78),0,'SEAP template'!B78+'SEAP template'!C78)</f>
        <v>41075.042890481825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1252.049952593522</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0.18211467973822634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1788.6505879470189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7527.1756756756758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0.23762572643642477</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2121.6379999999999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2121.6379999999999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0.18211467973822634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386.38142489045106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33241.908780633101</v>
      </c>
      <c r="C5" s="17">
        <f>IF(ISERROR('Eigen informatie GS &amp; warmtenet'!B57),0,'Eigen informatie GS &amp; warmtenet'!B57)</f>
        <v>0</v>
      </c>
      <c r="D5" s="30">
        <f>(SUM(HH_hh_gas_kWh,HH_rest_gas_kWh)/1000)*0.902</f>
        <v>99725.089932868854</v>
      </c>
      <c r="E5" s="17">
        <f>B32*B41</f>
        <v>2276.3451109762595</v>
      </c>
      <c r="F5" s="17">
        <f>B36*B45</f>
        <v>52763.908639054891</v>
      </c>
      <c r="G5" s="18"/>
      <c r="H5" s="17"/>
      <c r="I5" s="17"/>
      <c r="J5" s="17">
        <f>B35*B44+C35*C44</f>
        <v>271.16001282718213</v>
      </c>
      <c r="K5" s="17"/>
      <c r="L5" s="17"/>
      <c r="M5" s="17"/>
      <c r="N5" s="17">
        <f>B34*B43+C34*C43</f>
        <v>14440.759936926324</v>
      </c>
      <c r="O5" s="17">
        <f>B52*B53*B54</f>
        <v>347.06000000000006</v>
      </c>
      <c r="P5" s="17">
        <f>B60*B61*B62/1000-B60*B61*B62/1000/B63</f>
        <v>2898.1333333333332</v>
      </c>
    </row>
    <row r="6" spans="1:16">
      <c r="A6" s="16" t="s">
        <v>582</v>
      </c>
      <c r="B6" s="716">
        <f>kWh_PV_kleiner_dan_10kW</f>
        <v>6954.2146013789315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40196.123382012032</v>
      </c>
      <c r="C8" s="21">
        <f>C5</f>
        <v>0</v>
      </c>
      <c r="D8" s="21">
        <f>D5</f>
        <v>99725.089932868854</v>
      </c>
      <c r="E8" s="21">
        <f>E5</f>
        <v>2276.3451109762595</v>
      </c>
      <c r="F8" s="21">
        <f>F5</f>
        <v>52763.908639054891</v>
      </c>
      <c r="G8" s="21"/>
      <c r="H8" s="21"/>
      <c r="I8" s="21"/>
      <c r="J8" s="21">
        <f>J5</f>
        <v>271.16001282718213</v>
      </c>
      <c r="K8" s="21"/>
      <c r="L8" s="21">
        <f>L5</f>
        <v>0</v>
      </c>
      <c r="M8" s="21">
        <f>M5</f>
        <v>0</v>
      </c>
      <c r="N8" s="21">
        <f>N5</f>
        <v>14440.759936926324</v>
      </c>
      <c r="O8" s="21">
        <f>O5</f>
        <v>347.06000000000006</v>
      </c>
      <c r="P8" s="21">
        <f>P5</f>
        <v>2898.1333333333332</v>
      </c>
    </row>
    <row r="9" spans="1:16">
      <c r="B9" s="19"/>
      <c r="C9" s="19"/>
      <c r="D9" s="253"/>
      <c r="E9" s="19"/>
      <c r="F9" s="19"/>
      <c r="G9" s="19"/>
      <c r="H9" s="19"/>
      <c r="I9" s="19"/>
      <c r="J9" s="19"/>
      <c r="K9" s="19"/>
      <c r="L9" s="19"/>
      <c r="M9" s="19"/>
      <c r="N9" s="19"/>
      <c r="O9" s="19"/>
      <c r="P9" s="19"/>
    </row>
    <row r="10" spans="1:16">
      <c r="A10" s="24" t="s">
        <v>207</v>
      </c>
      <c r="B10" s="25">
        <f ca="1">'EF ele_warmte'!B12</f>
        <v>0.18211467973822634</v>
      </c>
      <c r="C10" s="25">
        <f ca="1">'EF ele_warmte'!B22</f>
        <v>0.23762572643642477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7320.3041364333531</v>
      </c>
      <c r="C12" s="23">
        <f ca="1">C10*C8</f>
        <v>0</v>
      </c>
      <c r="D12" s="23">
        <f>D8*D10</f>
        <v>20144.46816643951</v>
      </c>
      <c r="E12" s="23">
        <f>E10*E8</f>
        <v>516.73034019161094</v>
      </c>
      <c r="F12" s="23">
        <f>F10*F8</f>
        <v>14087.963606627656</v>
      </c>
      <c r="G12" s="23"/>
      <c r="H12" s="23"/>
      <c r="I12" s="23"/>
      <c r="J12" s="23">
        <f>J10*J8</f>
        <v>95.990644540822473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10215</v>
      </c>
      <c r="C26" s="36"/>
      <c r="D26" s="224"/>
    </row>
    <row r="27" spans="1:5" s="15" customFormat="1">
      <c r="A27" s="226" t="s">
        <v>736</v>
      </c>
      <c r="B27" s="37">
        <f>SUM(HH_hh_gas_aantal,HH_rest_gas_aantal)</f>
        <v>6572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6243.4</v>
      </c>
      <c r="C31" s="34" t="s">
        <v>104</v>
      </c>
      <c r="D31" s="170"/>
    </row>
    <row r="32" spans="1:5">
      <c r="A32" s="167" t="s">
        <v>72</v>
      </c>
      <c r="B32" s="33">
        <f>IF((B21*($B$26-($B$27-0.05*$B$27)-$B$60))&lt;0,0,B21*($B$26-($B$27-0.05*$B$27)-$B$60))</f>
        <v>42.064617093151789</v>
      </c>
      <c r="C32" s="34" t="s">
        <v>104</v>
      </c>
      <c r="D32" s="170"/>
    </row>
    <row r="33" spans="1:6">
      <c r="A33" s="167" t="s">
        <v>73</v>
      </c>
      <c r="B33" s="33">
        <f>IF((B22*($B$26-($B$27-0.05*$B$27)-$B$60))&lt;0,0,B22*($B$26-($B$27-0.05*$B$27)-$B$60))</f>
        <v>874.5587139399787</v>
      </c>
      <c r="C33" s="34" t="s">
        <v>104</v>
      </c>
      <c r="D33" s="170"/>
    </row>
    <row r="34" spans="1:6">
      <c r="A34" s="167" t="s">
        <v>74</v>
      </c>
      <c r="B34" s="33">
        <f>IF((B24*($B$26-($B$27-0.05*$B$27)-$B$60))&lt;0,0,B24*($B$26-($B$27-0.05*$B$27)-$B$60))</f>
        <v>341.33726785043774</v>
      </c>
      <c r="C34" s="33">
        <f>B26*C24</f>
        <v>1809.3281849043371</v>
      </c>
      <c r="D34" s="229"/>
    </row>
    <row r="35" spans="1:6">
      <c r="A35" s="167" t="s">
        <v>76</v>
      </c>
      <c r="B35" s="33">
        <f>IF((B19*($B$26-($B$27-0.05*$B$27)-$B$60))&lt;0,0,B19*($B$26-($B$27-0.05*$B$27)-$B$60))</f>
        <v>31.838379283356577</v>
      </c>
      <c r="C35" s="33">
        <f>B35/2</f>
        <v>15.919189641678289</v>
      </c>
      <c r="D35" s="229"/>
    </row>
    <row r="36" spans="1:6">
      <c r="A36" s="167" t="s">
        <v>77</v>
      </c>
      <c r="B36" s="33">
        <f>IF((B18*($B$26-($B$27-0.05*$B$27)-$B$60))&lt;0,0,B18*($B$26-($B$27-0.05*$B$27)-$B$60))</f>
        <v>2529.8010218330755</v>
      </c>
      <c r="C36" s="34" t="s">
        <v>104</v>
      </c>
      <c r="D36" s="170"/>
    </row>
    <row r="37" spans="1:6">
      <c r="A37" s="167" t="s">
        <v>78</v>
      </c>
      <c r="B37" s="33">
        <f>B60</f>
        <v>152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222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152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36452.652710372306</v>
      </c>
      <c r="C5" s="17">
        <f>IF(ISERROR('Eigen informatie GS &amp; warmtenet'!B58),0,'Eigen informatie GS &amp; warmtenet'!B58)</f>
        <v>0</v>
      </c>
      <c r="D5" s="30">
        <f>SUM(D6:D12)</f>
        <v>37878.316110550011</v>
      </c>
      <c r="E5" s="17">
        <f>SUM(E6:E12)</f>
        <v>542.63949663852304</v>
      </c>
      <c r="F5" s="17">
        <f>SUM(F6:F12)</f>
        <v>7512.8779526897206</v>
      </c>
      <c r="G5" s="18"/>
      <c r="H5" s="17"/>
      <c r="I5" s="17"/>
      <c r="J5" s="17">
        <f>SUM(J6:J12)</f>
        <v>7.4918566733680539E-2</v>
      </c>
      <c r="K5" s="17"/>
      <c r="L5" s="17"/>
      <c r="M5" s="17"/>
      <c r="N5" s="17">
        <f>SUM(N6:N12)</f>
        <v>2966.9352657623886</v>
      </c>
      <c r="O5" s="17">
        <f>B38*B39*B40</f>
        <v>7.8166666666666664</v>
      </c>
      <c r="P5" s="17">
        <f>B46*B47*B48/1000-B46*B47*B48/1000/B49</f>
        <v>0</v>
      </c>
      <c r="R5" s="32"/>
    </row>
    <row r="6" spans="1:18">
      <c r="A6" s="32" t="s">
        <v>53</v>
      </c>
      <c r="B6" s="37">
        <f>B26</f>
        <v>10097.150507034899</v>
      </c>
      <c r="C6" s="33"/>
      <c r="D6" s="37">
        <f>IF(ISERROR(TER_kantoor_gas_kWh/1000),0,TER_kantoor_gas_kWh/1000)*0.902</f>
        <v>7386.1044675402281</v>
      </c>
      <c r="E6" s="33">
        <f>$C$26*'E Balans VL '!I12/100/3.6*1000000</f>
        <v>-8.291074872904911E-4</v>
      </c>
      <c r="F6" s="33">
        <f>$C$26*('E Balans VL '!L12+'E Balans VL '!N12)/100/3.6*1000000</f>
        <v>1279.6258230044168</v>
      </c>
      <c r="G6" s="34"/>
      <c r="H6" s="33"/>
      <c r="I6" s="33"/>
      <c r="J6" s="33">
        <f>$C$26*('E Balans VL '!D12+'E Balans VL '!E12)/100/3.6*1000000</f>
        <v>0</v>
      </c>
      <c r="K6" s="33"/>
      <c r="L6" s="33"/>
      <c r="M6" s="33"/>
      <c r="N6" s="33">
        <f>$C$26*'E Balans VL '!Y12/100/3.6*1000000</f>
        <v>12.384752335671035</v>
      </c>
      <c r="O6" s="33"/>
      <c r="P6" s="33"/>
      <c r="R6" s="32"/>
    </row>
    <row r="7" spans="1:18">
      <c r="A7" s="32" t="s">
        <v>52</v>
      </c>
      <c r="B7" s="37">
        <f t="shared" ref="B7:B12" si="0">B27</f>
        <v>2813.67860516461</v>
      </c>
      <c r="C7" s="33"/>
      <c r="D7" s="37">
        <f>IF(ISERROR(TER_horeca_gas_kWh/1000),0,TER_horeca_gas_kWh/1000)*0.902</f>
        <v>3117.1201180679045</v>
      </c>
      <c r="E7" s="33">
        <f>$C$27*'E Balans VL '!I9/100/3.6*1000000</f>
        <v>32.386818711074135</v>
      </c>
      <c r="F7" s="33">
        <f>$C$27*('E Balans VL '!L9+'E Balans VL '!N9)/100/3.6*1000000</f>
        <v>362.7783781082228</v>
      </c>
      <c r="G7" s="34"/>
      <c r="H7" s="33"/>
      <c r="I7" s="33"/>
      <c r="J7" s="33">
        <f>$C$27*('E Balans VL '!D9+'E Balans VL '!E9)/100/3.6*1000000</f>
        <v>0</v>
      </c>
      <c r="K7" s="33"/>
      <c r="L7" s="33"/>
      <c r="M7" s="33"/>
      <c r="N7" s="33">
        <f>$C$27*'E Balans VL '!Y9/100/3.6*1000000</f>
        <v>29.697732893470363</v>
      </c>
      <c r="O7" s="33"/>
      <c r="P7" s="33"/>
      <c r="R7" s="32"/>
    </row>
    <row r="8" spans="1:18">
      <c r="A8" s="6" t="s">
        <v>51</v>
      </c>
      <c r="B8" s="37">
        <f t="shared" si="0"/>
        <v>12600.675531601799</v>
      </c>
      <c r="C8" s="33"/>
      <c r="D8" s="37">
        <f>IF(ISERROR(TER_handel_gas_kWh/1000),0,TER_handel_gas_kWh/1000)*0.902</f>
        <v>6174.017722078609</v>
      </c>
      <c r="E8" s="33">
        <f>$C$28*'E Balans VL '!I13/100/3.6*1000000</f>
        <v>355.52056255407751</v>
      </c>
      <c r="F8" s="33">
        <f>$C$28*('E Balans VL '!L13+'E Balans VL '!N13)/100/3.6*1000000</f>
        <v>1267.3578150939659</v>
      </c>
      <c r="G8" s="34"/>
      <c r="H8" s="33"/>
      <c r="I8" s="33"/>
      <c r="J8" s="33">
        <f>$C$28*('E Balans VL '!D13+'E Balans VL '!E13)/100/3.6*1000000</f>
        <v>0</v>
      </c>
      <c r="K8" s="33"/>
      <c r="L8" s="33"/>
      <c r="M8" s="33"/>
      <c r="N8" s="33">
        <f>$C$28*'E Balans VL '!Y13/100/3.6*1000000</f>
        <v>17.393821153367202</v>
      </c>
      <c r="O8" s="33"/>
      <c r="P8" s="33"/>
      <c r="R8" s="32"/>
    </row>
    <row r="9" spans="1:18">
      <c r="A9" s="32" t="s">
        <v>50</v>
      </c>
      <c r="B9" s="37">
        <f t="shared" si="0"/>
        <v>500.27294297782305</v>
      </c>
      <c r="C9" s="33"/>
      <c r="D9" s="37">
        <f>IF(ISERROR(TER_gezond_gas_kWh/1000),0,TER_gezond_gas_kWh/1000)*0.902</f>
        <v>1043.8641568235262</v>
      </c>
      <c r="E9" s="33">
        <f>$C$29*'E Balans VL '!I10/100/3.6*1000000</f>
        <v>0.99939132298863653</v>
      </c>
      <c r="F9" s="33">
        <f>$C$29*('E Balans VL '!L10+'E Balans VL '!N10)/100/3.6*1000000</f>
        <v>43.833944792235151</v>
      </c>
      <c r="G9" s="34"/>
      <c r="H9" s="33"/>
      <c r="I9" s="33"/>
      <c r="J9" s="33">
        <f>$C$29*('E Balans VL '!D10+'E Balans VL '!E10)/100/3.6*1000000</f>
        <v>0</v>
      </c>
      <c r="K9" s="33"/>
      <c r="L9" s="33"/>
      <c r="M9" s="33"/>
      <c r="N9" s="33">
        <f>$C$29*'E Balans VL '!Y10/100/3.6*1000000</f>
        <v>7.5673473661366089</v>
      </c>
      <c r="O9" s="33"/>
      <c r="P9" s="33"/>
      <c r="R9" s="32"/>
    </row>
    <row r="10" spans="1:18">
      <c r="A10" s="32" t="s">
        <v>49</v>
      </c>
      <c r="B10" s="37">
        <f t="shared" si="0"/>
        <v>6200.71664297389</v>
      </c>
      <c r="C10" s="33"/>
      <c r="D10" s="37">
        <f>IF(ISERROR(TER_ander_gas_kWh/1000),0,TER_ander_gas_kWh/1000)*0.902</f>
        <v>8240.2918977116587</v>
      </c>
      <c r="E10" s="33">
        <f>$C$30*'E Balans VL '!I14/100/3.6*1000000</f>
        <v>87.35313451926622</v>
      </c>
      <c r="F10" s="33">
        <f>$C$30*('E Balans VL '!L14+'E Balans VL '!N14)/100/3.6*1000000</f>
        <v>3761.4342141457237</v>
      </c>
      <c r="G10" s="34"/>
      <c r="H10" s="33"/>
      <c r="I10" s="33"/>
      <c r="J10" s="33">
        <f>$C$30*('E Balans VL '!D14+'E Balans VL '!E14)/100/3.6*1000000</f>
        <v>6.8071948636525229E-2</v>
      </c>
      <c r="K10" s="33"/>
      <c r="L10" s="33"/>
      <c r="M10" s="33"/>
      <c r="N10" s="33">
        <f>$C$30*'E Balans VL '!Y14/100/3.6*1000000</f>
        <v>2622.4768168385499</v>
      </c>
      <c r="O10" s="33"/>
      <c r="P10" s="33"/>
      <c r="R10" s="32"/>
    </row>
    <row r="11" spans="1:18">
      <c r="A11" s="32" t="s">
        <v>54</v>
      </c>
      <c r="B11" s="37">
        <f t="shared" si="0"/>
        <v>877.56941601635504</v>
      </c>
      <c r="C11" s="33"/>
      <c r="D11" s="37">
        <f>IF(ISERROR(TER_onderwijs_gas_kWh/1000),0,TER_onderwijs_gas_kWh/1000)*0.902</f>
        <v>3795.4509321163086</v>
      </c>
      <c r="E11" s="33">
        <f>$C$31*'E Balans VL '!I11/100/3.6*1000000</f>
        <v>22.904993112539266</v>
      </c>
      <c r="F11" s="33">
        <f>$C$31*('E Balans VL '!L11+'E Balans VL '!N11)/100/3.6*1000000</f>
        <v>107.99229091555517</v>
      </c>
      <c r="G11" s="34"/>
      <c r="H11" s="33"/>
      <c r="I11" s="33"/>
      <c r="J11" s="33">
        <f>$C$31*('E Balans VL '!D11+'E Balans VL '!E11)/100/3.6*1000000</f>
        <v>0</v>
      </c>
      <c r="K11" s="33"/>
      <c r="L11" s="33"/>
      <c r="M11" s="33"/>
      <c r="N11" s="33">
        <f>$C$31*'E Balans VL '!Y11/100/3.6*1000000</f>
        <v>2.7790034343142493</v>
      </c>
      <c r="O11" s="33"/>
      <c r="P11" s="33"/>
      <c r="R11" s="32"/>
    </row>
    <row r="12" spans="1:18">
      <c r="A12" s="32" t="s">
        <v>248</v>
      </c>
      <c r="B12" s="37">
        <f t="shared" si="0"/>
        <v>3362.5890646029302</v>
      </c>
      <c r="C12" s="33"/>
      <c r="D12" s="37">
        <f>IF(ISERROR(TER_rest_gas_kWh/1000),0,TER_rest_gas_kWh/1000)*0.902</f>
        <v>8121.4668162117778</v>
      </c>
      <c r="E12" s="33">
        <f>$C$32*'E Balans VL '!I8/100/3.6*1000000</f>
        <v>43.475425526064555</v>
      </c>
      <c r="F12" s="33">
        <f>$C$32*('E Balans VL '!L8+'E Balans VL '!N8)/100/3.6*1000000</f>
        <v>689.85548662960207</v>
      </c>
      <c r="G12" s="34"/>
      <c r="H12" s="33"/>
      <c r="I12" s="33"/>
      <c r="J12" s="33">
        <f>$C$32*('E Balans VL '!D8+'E Balans VL '!E8)/100/3.6*1000000</f>
        <v>6.8466180971553164E-3</v>
      </c>
      <c r="K12" s="33"/>
      <c r="L12" s="33"/>
      <c r="M12" s="33"/>
      <c r="N12" s="33">
        <f>$C$32*'E Balans VL '!Y8/100/3.6*1000000</f>
        <v>274.63579174087909</v>
      </c>
      <c r="O12" s="33"/>
      <c r="P12" s="33"/>
      <c r="R12" s="32"/>
    </row>
    <row r="13" spans="1:18">
      <c r="A13" s="16" t="s">
        <v>473</v>
      </c>
      <c r="B13" s="242">
        <f ca="1">'lokale energieproductie'!N39+'lokale energieproductie'!N32</f>
        <v>1341</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-3831.4285714285716</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37793.652710372306</v>
      </c>
      <c r="C16" s="21">
        <f t="shared" ca="1" si="1"/>
        <v>0</v>
      </c>
      <c r="D16" s="21">
        <f t="shared" ca="1" si="1"/>
        <v>37878.316110550011</v>
      </c>
      <c r="E16" s="21">
        <f t="shared" si="1"/>
        <v>542.63949663852304</v>
      </c>
      <c r="F16" s="21">
        <f t="shared" ca="1" si="1"/>
        <v>7512.8779526897206</v>
      </c>
      <c r="G16" s="21">
        <f t="shared" si="1"/>
        <v>0</v>
      </c>
      <c r="H16" s="21">
        <f t="shared" si="1"/>
        <v>0</v>
      </c>
      <c r="I16" s="21">
        <f t="shared" si="1"/>
        <v>0</v>
      </c>
      <c r="J16" s="21">
        <f t="shared" si="1"/>
        <v>7.4918566733680539E-2</v>
      </c>
      <c r="K16" s="21">
        <f t="shared" si="1"/>
        <v>0</v>
      </c>
      <c r="L16" s="21">
        <f t="shared" ca="1" si="1"/>
        <v>0</v>
      </c>
      <c r="M16" s="21">
        <f t="shared" si="1"/>
        <v>0</v>
      </c>
      <c r="N16" s="21">
        <f t="shared" ca="1" si="1"/>
        <v>0</v>
      </c>
      <c r="O16" s="21">
        <f>O5</f>
        <v>7.8166666666666664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0.18211467973822634</v>
      </c>
      <c r="C18" s="25">
        <f ca="1">'EF ele_warmte'!B22</f>
        <v>0.23762572643642477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6882.778959487202</v>
      </c>
      <c r="C20" s="23">
        <f t="shared" ref="C20:P20" ca="1" si="2">C16*C18</f>
        <v>0</v>
      </c>
      <c r="D20" s="23">
        <f t="shared" ca="1" si="2"/>
        <v>7651.4198543311031</v>
      </c>
      <c r="E20" s="23">
        <f t="shared" si="2"/>
        <v>123.17916573694474</v>
      </c>
      <c r="F20" s="23">
        <f t="shared" ca="1" si="2"/>
        <v>2005.9384133681556</v>
      </c>
      <c r="G20" s="23">
        <f t="shared" si="2"/>
        <v>0</v>
      </c>
      <c r="H20" s="23">
        <f t="shared" si="2"/>
        <v>0</v>
      </c>
      <c r="I20" s="23">
        <f t="shared" si="2"/>
        <v>0</v>
      </c>
      <c r="J20" s="23">
        <f t="shared" si="2"/>
        <v>2.6521172623722909E-2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10097.150507034899</v>
      </c>
      <c r="C26" s="39">
        <f>IF(ISERROR(B26*3.6/1000000/'E Balans VL '!Z12*100),0,B26*3.6/1000000/'E Balans VL '!Z12*100)</f>
        <v>0.27374242771848162</v>
      </c>
      <c r="D26" s="232" t="s">
        <v>700</v>
      </c>
      <c r="F26" s="6"/>
    </row>
    <row r="27" spans="1:18">
      <c r="A27" s="227" t="s">
        <v>52</v>
      </c>
      <c r="B27" s="33">
        <f>IF(ISERROR(TER_horeca_ele_kWh/1000),0,TER_horeca_ele_kWh/1000)</f>
        <v>2813.67860516461</v>
      </c>
      <c r="C27" s="39">
        <f>IF(ISERROR(B27*3.6/1000000/'E Balans VL '!Z9*100),0,B27*3.6/1000000/'E Balans VL '!Z9*100)</f>
        <v>0.21764099160329572</v>
      </c>
      <c r="D27" s="232" t="s">
        <v>700</v>
      </c>
      <c r="F27" s="6"/>
    </row>
    <row r="28" spans="1:18">
      <c r="A28" s="167" t="s">
        <v>51</v>
      </c>
      <c r="B28" s="33">
        <f>IF(ISERROR(TER_handel_ele_kWh/1000),0,TER_handel_ele_kWh/1000)</f>
        <v>12600.675531601799</v>
      </c>
      <c r="C28" s="39">
        <f>IF(ISERROR(B28*3.6/1000000/'E Balans VL '!Z13*100),0,B28*3.6/1000000/'E Balans VL '!Z13*100)</f>
        <v>0.36444412558113731</v>
      </c>
      <c r="D28" s="232" t="s">
        <v>700</v>
      </c>
      <c r="F28" s="6"/>
    </row>
    <row r="29" spans="1:18">
      <c r="A29" s="227" t="s">
        <v>50</v>
      </c>
      <c r="B29" s="33">
        <f>IF(ISERROR(TER_gezond_ele_kWh/1000),0,TER_gezond_ele_kWh/1000)</f>
        <v>500.27294297782305</v>
      </c>
      <c r="C29" s="39">
        <f>IF(ISERROR(B29*3.6/1000000/'E Balans VL '!Z10*100),0,B29*3.6/1000000/'E Balans VL '!Z10*100)</f>
        <v>5.1523206957162941E-2</v>
      </c>
      <c r="D29" s="232" t="s">
        <v>700</v>
      </c>
      <c r="F29" s="6"/>
    </row>
    <row r="30" spans="1:18">
      <c r="A30" s="227" t="s">
        <v>49</v>
      </c>
      <c r="B30" s="33">
        <f>IF(ISERROR(TER_ander_ele_kWh/1000),0,TER_ander_ele_kWh/1000)</f>
        <v>6200.71664297389</v>
      </c>
      <c r="C30" s="39">
        <f>IF(ISERROR(B30*3.6/1000000/'E Balans VL '!Z14*100),0,B30*3.6/1000000/'E Balans VL '!Z14*100)</f>
        <v>0.27879296369907947</v>
      </c>
      <c r="D30" s="232" t="s">
        <v>700</v>
      </c>
      <c r="F30" s="6"/>
    </row>
    <row r="31" spans="1:18">
      <c r="A31" s="227" t="s">
        <v>54</v>
      </c>
      <c r="B31" s="33">
        <f>IF(ISERROR(TER_onderwijs_ele_kWh/1000),0,TER_onderwijs_ele_kWh/1000)</f>
        <v>877.56941601635504</v>
      </c>
      <c r="C31" s="39">
        <f>IF(ISERROR(B31*3.6/1000000/'E Balans VL '!Z11*100),0,B31*3.6/1000000/'E Balans VL '!Z11*100)</f>
        <v>0.24525162906487813</v>
      </c>
      <c r="D31" s="232" t="s">
        <v>700</v>
      </c>
    </row>
    <row r="32" spans="1:18">
      <c r="A32" s="227" t="s">
        <v>248</v>
      </c>
      <c r="B32" s="33">
        <f>IF(ISERROR(TER_rest_ele_kWh/1000),0,TER_rest_ele_kWh/1000)</f>
        <v>3362.5890646029302</v>
      </c>
      <c r="C32" s="39">
        <f>IF(ISERROR(B32*3.6/1000000/'E Balans VL '!Z8*100),0,B32*3.6/1000000/'E Balans VL '!Z8*100)</f>
        <v>2.8040756711898908E-2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5</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116120.69396033141</v>
      </c>
      <c r="C5" s="17">
        <f>IF(ISERROR('Eigen informatie GS &amp; warmtenet'!B59),0,'Eigen informatie GS &amp; warmtenet'!B59)</f>
        <v>0</v>
      </c>
      <c r="D5" s="30">
        <f>SUM(D6:D15)</f>
        <v>55093.707504068931</v>
      </c>
      <c r="E5" s="17">
        <f>SUM(E6:E15)</f>
        <v>7314.4904820075262</v>
      </c>
      <c r="F5" s="17">
        <f>SUM(F6:F15)</f>
        <v>19592.577193261168</v>
      </c>
      <c r="G5" s="18"/>
      <c r="H5" s="17"/>
      <c r="I5" s="17"/>
      <c r="J5" s="17">
        <f>SUM(J6:J15)</f>
        <v>366.04493529783218</v>
      </c>
      <c r="K5" s="17"/>
      <c r="L5" s="17"/>
      <c r="M5" s="17"/>
      <c r="N5" s="17">
        <f>SUM(N6:N15)</f>
        <v>2785.174033844447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577.40439741569003</v>
      </c>
      <c r="C8" s="33"/>
      <c r="D8" s="37">
        <f>IF( ISERROR(IND_metaal_Gas_kWH/1000),0,IND_metaal_Gas_kWH/1000)*0.902</f>
        <v>97.251773407891051</v>
      </c>
      <c r="E8" s="33">
        <f>C30*'E Balans VL '!I18/100/3.6*1000000</f>
        <v>5.2401218136663017</v>
      </c>
      <c r="F8" s="33">
        <f>C30*'E Balans VL '!L18/100/3.6*1000000+C30*'E Balans VL '!N18/100/3.6*1000000</f>
        <v>53.145503881729276</v>
      </c>
      <c r="G8" s="34"/>
      <c r="H8" s="33"/>
      <c r="I8" s="33"/>
      <c r="J8" s="40">
        <f>C30*'E Balans VL '!D18/100/3.6*1000000+C30*'E Balans VL '!E18/100/3.6*1000000</f>
        <v>0</v>
      </c>
      <c r="K8" s="33"/>
      <c r="L8" s="33"/>
      <c r="M8" s="33"/>
      <c r="N8" s="33">
        <f>C30*'E Balans VL '!Y18/100/3.6*1000000</f>
        <v>8.4296495037567283</v>
      </c>
      <c r="O8" s="33"/>
      <c r="P8" s="33"/>
      <c r="R8" s="32"/>
    </row>
    <row r="9" spans="1:18">
      <c r="A9" s="6" t="s">
        <v>32</v>
      </c>
      <c r="B9" s="37">
        <f t="shared" si="0"/>
        <v>1694.44597274185</v>
      </c>
      <c r="C9" s="33"/>
      <c r="D9" s="37">
        <f>IF( ISERROR(IND_andere_gas_kWh/1000),0,IND_andere_gas_kWh/1000)*0.902</f>
        <v>1703.5859078072679</v>
      </c>
      <c r="E9" s="33">
        <f>C31*'E Balans VL '!I19/100/3.6*1000000</f>
        <v>9.8349473642844956</v>
      </c>
      <c r="F9" s="33">
        <f>C31*'E Balans VL '!L19/100/3.6*1000000+C31*'E Balans VL '!N19/100/3.6*1000000</f>
        <v>1117.4680925217244</v>
      </c>
      <c r="G9" s="34"/>
      <c r="H9" s="33"/>
      <c r="I9" s="33"/>
      <c r="J9" s="40">
        <f>C31*'E Balans VL '!D19/100/3.6*1000000+C31*'E Balans VL '!E19/100/3.6*1000000</f>
        <v>0</v>
      </c>
      <c r="K9" s="33"/>
      <c r="L9" s="33"/>
      <c r="M9" s="33"/>
      <c r="N9" s="33">
        <f>C31*'E Balans VL '!Y19/100/3.6*1000000</f>
        <v>78.471265909566213</v>
      </c>
      <c r="O9" s="33"/>
      <c r="P9" s="33"/>
      <c r="R9" s="32"/>
    </row>
    <row r="10" spans="1:18">
      <c r="A10" s="6" t="s">
        <v>40</v>
      </c>
      <c r="B10" s="37">
        <f t="shared" si="0"/>
        <v>939.91449887427393</v>
      </c>
      <c r="C10" s="33"/>
      <c r="D10" s="37">
        <f>IF( ISERROR(IND_voed_gas_kWh/1000),0,IND_voed_gas_kWh/1000)*0.902</f>
        <v>538.62289827346706</v>
      </c>
      <c r="E10" s="33">
        <f>C32*'E Balans VL '!I20/100/3.6*1000000</f>
        <v>1.9918980648889184</v>
      </c>
      <c r="F10" s="33">
        <f>C32*'E Balans VL '!L20/100/3.6*1000000+C32*'E Balans VL '!N20/100/3.6*1000000</f>
        <v>59.735449036722386</v>
      </c>
      <c r="G10" s="34"/>
      <c r="H10" s="33"/>
      <c r="I10" s="33"/>
      <c r="J10" s="40">
        <f>C32*'E Balans VL '!D20/100/3.6*1000000+C32*'E Balans VL '!E20/100/3.6*1000000</f>
        <v>0</v>
      </c>
      <c r="K10" s="33"/>
      <c r="L10" s="33"/>
      <c r="M10" s="33"/>
      <c r="N10" s="33">
        <f>C32*'E Balans VL '!Y20/100/3.6*1000000</f>
        <v>27.247080284953014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10.3771106298198</v>
      </c>
      <c r="C13" s="33"/>
      <c r="D13" s="37">
        <f>IF( ISERROR(IND_papier_gas_kWh/1000),0,IND_papier_gas_kWh/1000)*0.902</f>
        <v>40.190979358607862</v>
      </c>
      <c r="E13" s="33">
        <f>C35*'E Balans VL '!I23/100/3.6*1000000</f>
        <v>1.5317280768065595E-2</v>
      </c>
      <c r="F13" s="33">
        <f>C35*'E Balans VL '!L23/100/3.6*1000000+C35*'E Balans VL '!N23/100/3.6*1000000</f>
        <v>0.26873583785694705</v>
      </c>
      <c r="G13" s="34"/>
      <c r="H13" s="33"/>
      <c r="I13" s="33"/>
      <c r="J13" s="40">
        <f>C35*'E Balans VL '!D23/100/3.6*1000000+C35*'E Balans VL '!E23/100/3.6*1000000</f>
        <v>1.6697273727006255E-3</v>
      </c>
      <c r="K13" s="33"/>
      <c r="L13" s="33"/>
      <c r="M13" s="33"/>
      <c r="N13" s="33">
        <f>C35*'E Balans VL '!Y23/100/3.6*1000000</f>
        <v>-0.47129690309422839</v>
      </c>
      <c r="O13" s="33"/>
      <c r="P13" s="33"/>
      <c r="R13" s="32"/>
    </row>
    <row r="14" spans="1:18">
      <c r="A14" s="6" t="s">
        <v>33</v>
      </c>
      <c r="B14" s="37">
        <f t="shared" si="0"/>
        <v>8955.8265561367789</v>
      </c>
      <c r="C14" s="33"/>
      <c r="D14" s="37">
        <f>IF( ISERROR(IND_chemie_gas_kWh/1000),0,IND_chemie_gas_kWh/1000)*0.902</f>
        <v>0</v>
      </c>
      <c r="E14" s="33">
        <f>C36*'E Balans VL '!I24/100/3.6*1000000</f>
        <v>1674.1257018542408</v>
      </c>
      <c r="F14" s="33">
        <f>C36*'E Balans VL '!L24/100/3.6*1000000+C36*'E Balans VL '!N24/100/3.6*1000000</f>
        <v>92.500231540047551</v>
      </c>
      <c r="G14" s="34"/>
      <c r="H14" s="33"/>
      <c r="I14" s="33"/>
      <c r="J14" s="40">
        <f>C36*'E Balans VL '!D24/100/3.6*1000000+C36*'E Balans VL '!E24/100/3.6*1000000</f>
        <v>0</v>
      </c>
      <c r="K14" s="33"/>
      <c r="L14" s="33"/>
      <c r="M14" s="33"/>
      <c r="N14" s="33">
        <f>C36*'E Balans VL '!Y24/100/3.6*1000000</f>
        <v>5.0909235696384707</v>
      </c>
      <c r="O14" s="33"/>
      <c r="P14" s="33"/>
      <c r="R14" s="32"/>
    </row>
    <row r="15" spans="1:18">
      <c r="A15" s="6" t="s">
        <v>258</v>
      </c>
      <c r="B15" s="37">
        <f t="shared" si="0"/>
        <v>103942.725424533</v>
      </c>
      <c r="C15" s="33"/>
      <c r="D15" s="37">
        <f>IF( ISERROR(IND_rest_gas_kWh/1000),0,IND_rest_gas_kWh/1000)*0.902</f>
        <v>52714.055945221698</v>
      </c>
      <c r="E15" s="33">
        <f>C37*'E Balans VL '!I15/100/3.6*1000000</f>
        <v>5623.2824956296772</v>
      </c>
      <c r="F15" s="33">
        <f>C37*'E Balans VL '!L15/100/3.6*1000000+C37*'E Balans VL '!N15/100/3.6*1000000</f>
        <v>18269.459180443086</v>
      </c>
      <c r="G15" s="34"/>
      <c r="H15" s="33"/>
      <c r="I15" s="33"/>
      <c r="J15" s="40">
        <f>C37*'E Balans VL '!D15/100/3.6*1000000+C37*'E Balans VL '!E15/100/3.6*1000000</f>
        <v>366.04326557045948</v>
      </c>
      <c r="K15" s="33"/>
      <c r="L15" s="33"/>
      <c r="M15" s="33"/>
      <c r="N15" s="33">
        <f>C37*'E Balans VL '!Y15/100/3.6*1000000</f>
        <v>2666.406411479627</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116120.69396033141</v>
      </c>
      <c r="C18" s="21">
        <f>C5+C16</f>
        <v>0</v>
      </c>
      <c r="D18" s="21">
        <f>MAX((D5+D16),0)</f>
        <v>55093.707504068931</v>
      </c>
      <c r="E18" s="21">
        <f>MAX((E5+E16),0)</f>
        <v>7314.4904820075262</v>
      </c>
      <c r="F18" s="21">
        <f>MAX((F5+F16),0)</f>
        <v>19592.577193261168</v>
      </c>
      <c r="G18" s="21"/>
      <c r="H18" s="21"/>
      <c r="I18" s="21"/>
      <c r="J18" s="21">
        <f>MAX((J5+J16),0)</f>
        <v>366.04493529783218</v>
      </c>
      <c r="K18" s="21"/>
      <c r="L18" s="21">
        <f>MAX((L5+L16),0)</f>
        <v>0</v>
      </c>
      <c r="M18" s="21"/>
      <c r="N18" s="21">
        <f>MAX((N5+N16),0)</f>
        <v>2785.174033844447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0.18211467973822634</v>
      </c>
      <c r="C20" s="25">
        <f ca="1">'EF ele_warmte'!B22</f>
        <v>0.23762572643642477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21147.28299156635</v>
      </c>
      <c r="C22" s="23">
        <f ca="1">C18*C20</f>
        <v>0</v>
      </c>
      <c r="D22" s="23">
        <f>D18*D20</f>
        <v>11128.928915821925</v>
      </c>
      <c r="E22" s="23">
        <f>E18*E20</f>
        <v>1660.3893394157085</v>
      </c>
      <c r="F22" s="23">
        <f>F18*F20</f>
        <v>5231.218110600732</v>
      </c>
      <c r="G22" s="23"/>
      <c r="H22" s="23"/>
      <c r="I22" s="23"/>
      <c r="J22" s="23">
        <f>J18*J20</f>
        <v>129.57990709543259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577.40439741569003</v>
      </c>
      <c r="C30" s="39">
        <f>IF(ISERROR(B30*3.6/1000000/'E Balans VL '!Z18*100),0,B30*3.6/1000000/'E Balans VL '!Z18*100)</f>
        <v>3.348577040638135E-2</v>
      </c>
      <c r="D30" s="232" t="s">
        <v>700</v>
      </c>
    </row>
    <row r="31" spans="1:18">
      <c r="A31" s="6" t="s">
        <v>32</v>
      </c>
      <c r="B31" s="37">
        <f>IF( ISERROR(IND_ander_ele_kWh/1000),0,IND_ander_ele_kWh/1000)</f>
        <v>1694.44597274185</v>
      </c>
      <c r="C31" s="39">
        <f>IF(ISERROR(B31*3.6/1000000/'E Balans VL '!Z19*100),0,B31*3.6/1000000/'E Balans VL '!Z19*100)</f>
        <v>7.0766440162003563E-2</v>
      </c>
      <c r="D31" s="232" t="s">
        <v>700</v>
      </c>
    </row>
    <row r="32" spans="1:18">
      <c r="A32" s="167" t="s">
        <v>40</v>
      </c>
      <c r="B32" s="37">
        <f>IF( ISERROR(IND_voed_ele_kWh/1000),0,IND_voed_ele_kWh/1000)</f>
        <v>939.91449887427393</v>
      </c>
      <c r="C32" s="39">
        <f>IF(ISERROR(B32*3.6/1000000/'E Balans VL '!Z20*100),0,B32*3.6/1000000/'E Balans VL '!Z20*100)</f>
        <v>2.9152444387649468E-2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10.3771106298198</v>
      </c>
      <c r="C35" s="39">
        <f>IF(ISERROR(B35*3.6/1000000/'E Balans VL '!Z22*100),0,B35*3.6/1000000/'E Balans VL '!Z22*100)</f>
        <v>1.9418921943736116E-3</v>
      </c>
      <c r="D35" s="232" t="s">
        <v>700</v>
      </c>
    </row>
    <row r="36" spans="1:5">
      <c r="A36" s="167" t="s">
        <v>33</v>
      </c>
      <c r="B36" s="37">
        <f>IF( ISERROR(IND_chemie_ele_kWh/1000),0,IND_chemie_ele_kWh/1000)</f>
        <v>8955.8265561367789</v>
      </c>
      <c r="C36" s="39">
        <f>IF(ISERROR(B36*3.6/1000000/'E Balans VL '!Z24*100),0,B36*3.6/1000000/'E Balans VL '!Z24*100)</f>
        <v>0.26174414239786453</v>
      </c>
      <c r="D36" s="232" t="s">
        <v>700</v>
      </c>
    </row>
    <row r="37" spans="1:5">
      <c r="A37" s="167" t="s">
        <v>258</v>
      </c>
      <c r="B37" s="37">
        <f>IF( ISERROR(IND_rest_ele_kWh/1000),0,IND_rest_ele_kWh/1000)</f>
        <v>103942.725424533</v>
      </c>
      <c r="C37" s="39">
        <f>IF(ISERROR(B37*3.6/1000000/'E Balans VL '!Z15*100),0,B37*3.6/1000000/'E Balans VL '!Z15*100)</f>
        <v>0.8104351492913201</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3719.4176202712897</v>
      </c>
      <c r="C5" s="17">
        <f>'Eigen informatie GS &amp; warmtenet'!B60</f>
        <v>0</v>
      </c>
      <c r="D5" s="30">
        <f>IF(ISERROR(SUM(LB_lb_gas_kWh,LB_rest_gas_kWh)/1000),0,SUM(LB_lb_gas_kWh,LB_rest_gas_kWh)/1000)*0.902</f>
        <v>15220.985647051844</v>
      </c>
      <c r="E5" s="17">
        <f>B17*'E Balans VL '!I25/3.6*1000000/100</f>
        <v>120.70732848705478</v>
      </c>
      <c r="F5" s="17">
        <f>B17*('E Balans VL '!L25/3.6*1000000+'E Balans VL '!N25/3.6*1000000)/100</f>
        <v>13721.653342804822</v>
      </c>
      <c r="G5" s="18"/>
      <c r="H5" s="17"/>
      <c r="I5" s="17"/>
      <c r="J5" s="17">
        <f>('E Balans VL '!D25+'E Balans VL '!E25)/3.6*1000000*landbouw!B17/100</f>
        <v>978.16838028366101</v>
      </c>
      <c r="K5" s="17"/>
      <c r="L5" s="17">
        <f>L6*(-1)</f>
        <v>0</v>
      </c>
      <c r="M5" s="17"/>
      <c r="N5" s="17">
        <f>N6*(-1)</f>
        <v>0</v>
      </c>
      <c r="O5" s="17"/>
      <c r="P5" s="17"/>
      <c r="R5" s="32"/>
    </row>
    <row r="6" spans="1:18">
      <c r="A6" s="16" t="s">
        <v>473</v>
      </c>
      <c r="B6" s="17" t="s">
        <v>204</v>
      </c>
      <c r="C6" s="17">
        <f>'lokale energieproductie'!O40+'lokale energieproductie'!O33</f>
        <v>7527.1756756756758</v>
      </c>
      <c r="D6" s="300">
        <f>('lokale energieproductie'!P33+'lokale energieproductie'!P40)*(-1)</f>
        <v>-15052.972972972975</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3719.4176202712897</v>
      </c>
      <c r="C8" s="21">
        <f>C5+C6</f>
        <v>7527.1756756756758</v>
      </c>
      <c r="D8" s="21">
        <f>MAX((D5+D6),0)</f>
        <v>168.01267407886917</v>
      </c>
      <c r="E8" s="21">
        <f>MAX((E5+E6),0)</f>
        <v>120.70732848705478</v>
      </c>
      <c r="F8" s="21">
        <f>MAX((F5+F6),0)</f>
        <v>13721.653342804822</v>
      </c>
      <c r="G8" s="21"/>
      <c r="H8" s="21"/>
      <c r="I8" s="21"/>
      <c r="J8" s="21">
        <f>MAX((J5+J6),0)</f>
        <v>978.16838028366101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0.18211467973822634</v>
      </c>
      <c r="C10" s="31">
        <f ca="1">'EF ele_warmte'!B22</f>
        <v>0.23762572643642477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677.36054872842192</v>
      </c>
      <c r="C12" s="23">
        <f ca="1">C8*C10</f>
        <v>1788.6505879470189</v>
      </c>
      <c r="D12" s="23">
        <f>D8*D10</f>
        <v>33.938560163931577</v>
      </c>
      <c r="E12" s="23">
        <f>E8*E10</f>
        <v>27.400563566561438</v>
      </c>
      <c r="F12" s="23">
        <f>F8*F10</f>
        <v>3663.6814425288876</v>
      </c>
      <c r="G12" s="23"/>
      <c r="H12" s="23"/>
      <c r="I12" s="23"/>
      <c r="J12" s="23">
        <f>J8*J10</f>
        <v>346.27160662041598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0.52779702963340169</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409.66182126675909</v>
      </c>
      <c r="C26" s="242">
        <f>B26*'GWP N2O_CH4'!B5</f>
        <v>8602.8982466019406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101.39363360692222</v>
      </c>
      <c r="C27" s="242">
        <f>B27*'GWP N2O_CH4'!B5</f>
        <v>2129.2663057453665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8.3647254745666579</v>
      </c>
      <c r="C28" s="242">
        <f>B28*'GWP N2O_CH4'!B4</f>
        <v>2593.0648971156638</v>
      </c>
      <c r="D28" s="50"/>
    </row>
    <row r="29" spans="1:4">
      <c r="A29" s="41" t="s">
        <v>265</v>
      </c>
      <c r="B29" s="242">
        <f>B34*'ha_N2O bodem landbouw'!B4</f>
        <v>14.704363519758907</v>
      </c>
      <c r="C29" s="242">
        <f>B29*'GWP N2O_CH4'!B4</f>
        <v>4558.3526911252611</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3.3554850817179779E-3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4.599724745068423E-4</v>
      </c>
      <c r="C5" s="427" t="s">
        <v>204</v>
      </c>
      <c r="D5" s="412">
        <f>SUM(D6:D11)</f>
        <v>7.2679002228259672E-4</v>
      </c>
      <c r="E5" s="412">
        <f>SUM(E6:E11)</f>
        <v>1.3640444272668161E-3</v>
      </c>
      <c r="F5" s="425" t="s">
        <v>204</v>
      </c>
      <c r="G5" s="412">
        <f>SUM(G6:G11)</f>
        <v>0.5897148929160887</v>
      </c>
      <c r="H5" s="412">
        <f>SUM(H6:H11)</f>
        <v>0.127843835677483</v>
      </c>
      <c r="I5" s="427" t="s">
        <v>204</v>
      </c>
      <c r="J5" s="427" t="s">
        <v>204</v>
      </c>
      <c r="K5" s="427" t="s">
        <v>204</v>
      </c>
      <c r="L5" s="427" t="s">
        <v>204</v>
      </c>
      <c r="M5" s="412">
        <f>SUM(M6:M11)</f>
        <v>3.8218113701022467E-2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2.0537053276904136E-4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3.4700668712840091E-4</v>
      </c>
      <c r="E6" s="818">
        <f>vkm_GW_PW*SUMIFS(TableVerdeelsleutelVkm[LPG],TableVerdeelsleutelVkm[Voertuigtype],"Lichte voertuigen")*SUMIFS(TableECFTransport[EnergieConsumptieFactor (PJ per km)],TableECFTransport[Index],CONCATENATE($A6,"_LPG_LPG"))</f>
        <v>6.0320191189469153E-4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0.18269386160761467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6.0164440234534357E-2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1.2445264467630907E-2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2.0789551190673127E-6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6.6776538965189897E-2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1.332253146641749E-6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3.9014627539726175E-3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5.0201292620625853E-5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1.0859970837217247E-4</v>
      </c>
      <c r="E8" s="415">
        <f>vkm_NGW_PW*SUMIFS(TableVerdeelsleutelVkm[LPG],TableVerdeelsleutelVkm[Voertuigtype],"Lichte voertuigen")*SUMIFS(TableECFTransport[EnergieConsumptieFactor (PJ per km)],TableECFTransport[Index],CONCATENATE($A8,"_LPG_LPG"))</f>
        <v>1.8021997429688025E-4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5.0976897525899893E-2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1.8394593340953332E-2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3.5199028725787203E-3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9.2614048027603851E-8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3.8168467723239991E-3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7.1636598159996959E-8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2.2300162419156824E-4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1.9809524067761555E-4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2.7118362678202335E-4</v>
      </c>
      <c r="E10" s="415">
        <f>vkm_SW_PW*SUMIFS(TableVerdeelsleutelVkm[LPG],TableVerdeelsleutelVkm[Voertuigtype],"Lichte voertuigen")*SUMIFS(TableECFTransport[EnergieConsumptieFactor (PJ per km)],TableECFTransport[Index],CONCATENATE($A10,"_LPG_LPG"))</f>
        <v>5.8062254107524444E-4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0.15898007152294424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4.928067158565138E-2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1.0739344397804025E-2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4.1338392724646292E-6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0.12647067652211594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2.7266265991443822E-6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7.3891375848446289E-3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127.7701318074562</v>
      </c>
      <c r="C14" s="21"/>
      <c r="D14" s="21">
        <f t="shared" ref="D14:M14" si="0">((D5)*10^9/3600)+D12</f>
        <v>201.88611730072131</v>
      </c>
      <c r="E14" s="21">
        <f t="shared" si="0"/>
        <v>378.90122979633782</v>
      </c>
      <c r="F14" s="21"/>
      <c r="G14" s="21">
        <f t="shared" si="0"/>
        <v>163809.6924766913</v>
      </c>
      <c r="H14" s="21">
        <f t="shared" si="0"/>
        <v>35512.176577078615</v>
      </c>
      <c r="I14" s="21"/>
      <c r="J14" s="21"/>
      <c r="K14" s="21"/>
      <c r="L14" s="21"/>
      <c r="M14" s="21">
        <f t="shared" si="0"/>
        <v>10616.142694728464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0.18211467973822634</v>
      </c>
      <c r="C16" s="56">
        <f ca="1">'EF ele_warmte'!B22</f>
        <v>0.23762572643642477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23.268816634225853</v>
      </c>
      <c r="C18" s="23"/>
      <c r="D18" s="23">
        <f t="shared" ref="D18:M18" si="1">D14*D16</f>
        <v>40.780995694745705</v>
      </c>
      <c r="E18" s="23">
        <f t="shared" si="1"/>
        <v>86.010579163768682</v>
      </c>
      <c r="F18" s="23"/>
      <c r="G18" s="23">
        <f t="shared" si="1"/>
        <v>43737.187891276582</v>
      </c>
      <c r="H18" s="23">
        <f t="shared" si="1"/>
        <v>8842.5319676925756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6.7223483305927075E-5</v>
      </c>
      <c r="C50" s="311">
        <f t="shared" ref="C50:P50" si="2">SUM(C51:C52)</f>
        <v>0</v>
      </c>
      <c r="D50" s="311">
        <f t="shared" si="2"/>
        <v>0</v>
      </c>
      <c r="E50" s="311">
        <f t="shared" si="2"/>
        <v>0</v>
      </c>
      <c r="F50" s="311">
        <f t="shared" si="2"/>
        <v>0</v>
      </c>
      <c r="G50" s="311">
        <f t="shared" si="2"/>
        <v>6.3149791200309705E-3</v>
      </c>
      <c r="H50" s="311">
        <f t="shared" si="2"/>
        <v>0</v>
      </c>
      <c r="I50" s="311">
        <f t="shared" si="2"/>
        <v>0</v>
      </c>
      <c r="J50" s="311">
        <f t="shared" si="2"/>
        <v>0</v>
      </c>
      <c r="K50" s="311">
        <f t="shared" si="2"/>
        <v>0</v>
      </c>
      <c r="L50" s="311">
        <f t="shared" si="2"/>
        <v>0</v>
      </c>
      <c r="M50" s="311">
        <f t="shared" si="2"/>
        <v>3.6366068689538657E-4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6.7223483305927075E-5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6.3149791200309705E-3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3.6366068689538657E-4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18.673189807201965</v>
      </c>
      <c r="C54" s="21">
        <f t="shared" ref="C54:P54" si="3">(C50)*10^9/3600</f>
        <v>0</v>
      </c>
      <c r="D54" s="21">
        <f t="shared" si="3"/>
        <v>0</v>
      </c>
      <c r="E54" s="21">
        <f t="shared" si="3"/>
        <v>0</v>
      </c>
      <c r="F54" s="21">
        <f t="shared" si="3"/>
        <v>0</v>
      </c>
      <c r="G54" s="21">
        <f t="shared" si="3"/>
        <v>1754.1608666752695</v>
      </c>
      <c r="H54" s="21">
        <f t="shared" si="3"/>
        <v>0</v>
      </c>
      <c r="I54" s="21">
        <f t="shared" si="3"/>
        <v>0</v>
      </c>
      <c r="J54" s="21">
        <f t="shared" si="3"/>
        <v>0</v>
      </c>
      <c r="K54" s="21">
        <f t="shared" si="3"/>
        <v>0</v>
      </c>
      <c r="L54" s="21">
        <f t="shared" si="3"/>
        <v>0</v>
      </c>
      <c r="M54" s="21">
        <f t="shared" si="3"/>
        <v>101.01685747094071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0.18211467973822634</v>
      </c>
      <c r="C56" s="56">
        <f ca="1">'EF ele_warmte'!B22</f>
        <v>0.23762572643642477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3.4006619814296983</v>
      </c>
      <c r="C58" s="23">
        <f t="shared" ref="C58:P58" ca="1" si="4">C54*C56</f>
        <v>0</v>
      </c>
      <c r="D58" s="23">
        <f t="shared" si="4"/>
        <v>0</v>
      </c>
      <c r="E58" s="23">
        <f t="shared" si="4"/>
        <v>0</v>
      </c>
      <c r="F58" s="23">
        <f t="shared" si="4"/>
        <v>0</v>
      </c>
      <c r="G58" s="23">
        <f t="shared" si="4"/>
        <v>468.36095140229696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19635.908627902805</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14829.134262579024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5269</v>
      </c>
      <c r="C8" s="534">
        <f>B49</f>
        <v>6198.2670920471382</v>
      </c>
      <c r="D8" s="962"/>
      <c r="E8" s="962">
        <f>E49</f>
        <v>0</v>
      </c>
      <c r="F8" s="963"/>
      <c r="G8" s="535"/>
      <c r="H8" s="962">
        <f>I49</f>
        <v>0</v>
      </c>
      <c r="I8" s="962">
        <f>G49+F49</f>
        <v>0</v>
      </c>
      <c r="J8" s="962">
        <f>H49+D49+C49</f>
        <v>0</v>
      </c>
      <c r="K8" s="962"/>
      <c r="L8" s="962"/>
      <c r="M8" s="962"/>
      <c r="N8" s="536"/>
      <c r="O8" s="537">
        <f>C8*$C$12+D8*$D$12+E8*$E$12+F8*$F$12+G8*$G$12+H8*$H$12+I8*$I$12+J8*$J$12</f>
        <v>1252.049952593522</v>
      </c>
      <c r="P8" s="1180"/>
      <c r="Q8" s="1181"/>
      <c r="S8" s="925"/>
      <c r="T8" s="1217"/>
      <c r="U8" s="1217"/>
    </row>
    <row r="9" spans="1:21" s="523" customFormat="1" ht="17.45" customHeight="1" thickBot="1">
      <c r="A9" s="538" t="s">
        <v>236</v>
      </c>
      <c r="B9" s="539">
        <f>N37+'Eigen informatie GS &amp; warmtenet'!B12</f>
        <v>1341</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41075.042890481825</v>
      </c>
      <c r="C10" s="547">
        <f t="shared" ref="C10:L10" si="0">SUM(C8:C9)</f>
        <v>6198.2670920471382</v>
      </c>
      <c r="D10" s="547">
        <f t="shared" si="0"/>
        <v>0</v>
      </c>
      <c r="E10" s="547">
        <f t="shared" si="0"/>
        <v>0</v>
      </c>
      <c r="F10" s="547">
        <f t="shared" si="0"/>
        <v>0</v>
      </c>
      <c r="G10" s="547">
        <f t="shared" si="0"/>
        <v>0</v>
      </c>
      <c r="H10" s="547">
        <f t="shared" si="0"/>
        <v>0</v>
      </c>
      <c r="I10" s="547">
        <f t="shared" si="0"/>
        <v>0</v>
      </c>
      <c r="J10" s="547">
        <f t="shared" si="0"/>
        <v>3831.4285714285716</v>
      </c>
      <c r="K10" s="547">
        <f t="shared" si="0"/>
        <v>0</v>
      </c>
      <c r="L10" s="547">
        <f t="shared" si="0"/>
        <v>0</v>
      </c>
      <c r="M10" s="965"/>
      <c r="N10" s="965"/>
      <c r="O10" s="548">
        <f>SUM(O4:O9)</f>
        <v>1252.049952593522</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7527.1756756756758</v>
      </c>
      <c r="C17" s="559">
        <f>B50</f>
        <v>8854.705880925836</v>
      </c>
      <c r="D17" s="560"/>
      <c r="E17" s="560">
        <f>E50</f>
        <v>0</v>
      </c>
      <c r="F17" s="968"/>
      <c r="G17" s="561"/>
      <c r="H17" s="559">
        <f>I50</f>
        <v>0</v>
      </c>
      <c r="I17" s="560">
        <f>G50+F50</f>
        <v>0</v>
      </c>
      <c r="J17" s="560">
        <f>H50+D50+C50</f>
        <v>0</v>
      </c>
      <c r="K17" s="560"/>
      <c r="L17" s="560"/>
      <c r="M17" s="560"/>
      <c r="N17" s="969"/>
      <c r="O17" s="562">
        <f>C17*$C$22+E17*$E$22+H17*$H$22+I17*$I$22+J17*$J$22+D17*$D$22+F17*$F$22+G17*$G$22+K17*$K$22+L17*$L$22</f>
        <v>1788.6505879470189</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7527.1756756756758</v>
      </c>
      <c r="C20" s="546">
        <f>SUM(C17:C19)</f>
        <v>8854.705880925836</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1788.6505879470189</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13049</v>
      </c>
      <c r="C28" s="724">
        <v>2260</v>
      </c>
      <c r="D28" s="617"/>
      <c r="E28" s="616"/>
      <c r="F28" s="616"/>
      <c r="G28" s="616" t="s">
        <v>878</v>
      </c>
      <c r="H28" s="616" t="s">
        <v>879</v>
      </c>
      <c r="I28" s="616"/>
      <c r="J28" s="723"/>
      <c r="K28" s="723"/>
      <c r="L28" s="616" t="s">
        <v>880</v>
      </c>
      <c r="M28" s="616">
        <v>1169</v>
      </c>
      <c r="N28" s="616">
        <v>5260.5</v>
      </c>
      <c r="O28" s="616">
        <v>7515</v>
      </c>
      <c r="P28" s="616">
        <v>15030.000000000002</v>
      </c>
      <c r="Q28" s="616">
        <v>0</v>
      </c>
      <c r="R28" s="616">
        <v>0</v>
      </c>
      <c r="S28" s="616">
        <v>0</v>
      </c>
      <c r="T28" s="616">
        <v>0</v>
      </c>
      <c r="U28" s="616">
        <v>0</v>
      </c>
      <c r="V28" s="616">
        <v>0</v>
      </c>
      <c r="W28" s="616">
        <v>0</v>
      </c>
      <c r="X28" s="616"/>
      <c r="Y28" s="616">
        <v>10</v>
      </c>
      <c r="Z28" s="616" t="s">
        <v>105</v>
      </c>
      <c r="AA28" s="618" t="s">
        <v>105</v>
      </c>
    </row>
    <row r="29" spans="1:27" s="570" customFormat="1" ht="12.75" hidden="1">
      <c r="A29" s="569"/>
      <c r="B29" s="724">
        <v>13049</v>
      </c>
      <c r="C29" s="724">
        <v>2260</v>
      </c>
      <c r="D29" s="617"/>
      <c r="E29" s="616"/>
      <c r="F29" s="616"/>
      <c r="G29" s="616" t="s">
        <v>881</v>
      </c>
      <c r="H29" s="616" t="s">
        <v>881</v>
      </c>
      <c r="I29" s="616"/>
      <c r="J29" s="723"/>
      <c r="K29" s="723"/>
      <c r="L29" s="616" t="s">
        <v>880</v>
      </c>
      <c r="M29" s="616">
        <v>1.7</v>
      </c>
      <c r="N29" s="616">
        <v>8.5</v>
      </c>
      <c r="O29" s="616">
        <v>12.175675675675675</v>
      </c>
      <c r="P29" s="616">
        <v>22.972972972972972</v>
      </c>
      <c r="Q29" s="616">
        <v>0</v>
      </c>
      <c r="R29" s="616">
        <v>0</v>
      </c>
      <c r="S29" s="616">
        <v>0</v>
      </c>
      <c r="T29" s="616">
        <v>0</v>
      </c>
      <c r="U29" s="616">
        <v>0</v>
      </c>
      <c r="V29" s="616">
        <v>0</v>
      </c>
      <c r="W29" s="616">
        <v>0</v>
      </c>
      <c r="X29" s="616"/>
      <c r="Y29" s="616">
        <v>10</v>
      </c>
      <c r="Z29" s="616" t="s">
        <v>105</v>
      </c>
      <c r="AA29" s="618" t="s">
        <v>105</v>
      </c>
    </row>
    <row r="30" spans="1:27" s="554" customFormat="1" hidden="1">
      <c r="A30" s="572" t="s">
        <v>268</v>
      </c>
      <c r="B30" s="573"/>
      <c r="C30" s="573"/>
      <c r="D30" s="573"/>
      <c r="E30" s="573"/>
      <c r="F30" s="573"/>
      <c r="G30" s="573"/>
      <c r="H30" s="573"/>
      <c r="I30" s="573"/>
      <c r="J30" s="573"/>
      <c r="K30" s="573"/>
      <c r="L30" s="574"/>
      <c r="M30" s="574">
        <f>SUM(M28:M29)</f>
        <v>1170.7</v>
      </c>
      <c r="N30" s="574">
        <f>SUM(N28:N29)</f>
        <v>5269</v>
      </c>
      <c r="O30" s="574">
        <f>SUM(O28:O29)</f>
        <v>7527.1756756756758</v>
      </c>
      <c r="P30" s="574">
        <f>SUM(P28:P29)</f>
        <v>15052.972972972975</v>
      </c>
      <c r="Q30" s="574">
        <f>SUM(Q28:Q29)</f>
        <v>0</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0</v>
      </c>
      <c r="N32" s="574">
        <f ca="1">SUMIF($AA$28:AE29,"tertiair",N28:N29)</f>
        <v>0</v>
      </c>
      <c r="O32" s="574">
        <f ca="1">SUMIF($AA$28:AF29,"tertiair",O28:O29)</f>
        <v>0</v>
      </c>
      <c r="P32" s="574">
        <f ca="1">SUMIF($AA$28:AG29,"tertiair",P28:P29)</f>
        <v>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1170.7</v>
      </c>
      <c r="N33" s="579">
        <f>SUMIF($AA$28:$AA$29,"landbouw",N28:N29)</f>
        <v>5269</v>
      </c>
      <c r="O33" s="579">
        <f>SUMIF($AA$28:$AA$29,"landbouw",O28:O29)</f>
        <v>7527.1756756756758</v>
      </c>
      <c r="P33" s="579">
        <f>SUMIF($AA$28:$AA$29,"landbouw",P28:P29)</f>
        <v>15052.972972972975</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63.75" hidden="1">
      <c r="A36" s="571"/>
      <c r="B36" s="724">
        <v>13049</v>
      </c>
      <c r="C36" s="724">
        <v>2260</v>
      </c>
      <c r="D36" s="619"/>
      <c r="E36" s="619"/>
      <c r="F36" s="619"/>
      <c r="G36" s="619" t="s">
        <v>882</v>
      </c>
      <c r="H36" s="619" t="s">
        <v>883</v>
      </c>
      <c r="I36" s="619"/>
      <c r="J36" s="723"/>
      <c r="K36" s="723"/>
      <c r="L36" s="619" t="s">
        <v>884</v>
      </c>
      <c r="M36" s="619">
        <v>298</v>
      </c>
      <c r="N36" s="619">
        <v>1341</v>
      </c>
      <c r="O36" s="619">
        <v>0</v>
      </c>
      <c r="P36" s="619">
        <v>0</v>
      </c>
      <c r="Q36" s="619">
        <v>3831.4285714285716</v>
      </c>
      <c r="R36" s="619">
        <v>0</v>
      </c>
      <c r="S36" s="619">
        <v>0</v>
      </c>
      <c r="T36" s="619">
        <v>0</v>
      </c>
      <c r="U36" s="619">
        <v>0</v>
      </c>
      <c r="V36" s="619">
        <v>0</v>
      </c>
      <c r="W36" s="619">
        <v>0</v>
      </c>
      <c r="X36" s="619"/>
      <c r="Y36" s="619">
        <v>1600</v>
      </c>
      <c r="Z36" s="619" t="s">
        <v>49</v>
      </c>
      <c r="AA36" s="620" t="s">
        <v>149</v>
      </c>
    </row>
    <row r="37" spans="1:28" s="554" customFormat="1" hidden="1">
      <c r="A37" s="572" t="s">
        <v>268</v>
      </c>
      <c r="B37" s="573"/>
      <c r="C37" s="573"/>
      <c r="D37" s="573"/>
      <c r="E37" s="573"/>
      <c r="F37" s="573"/>
      <c r="G37" s="573"/>
      <c r="H37" s="573"/>
      <c r="I37" s="573"/>
      <c r="J37" s="573"/>
      <c r="K37" s="573"/>
      <c r="L37" s="574"/>
      <c r="M37" s="574">
        <f>SUM(M36:M36)</f>
        <v>298</v>
      </c>
      <c r="N37" s="574">
        <f>SUM(N36:N36)</f>
        <v>1341</v>
      </c>
      <c r="O37" s="574">
        <f>SUM(O36:O36)</f>
        <v>0</v>
      </c>
      <c r="P37" s="574">
        <f>SUM(P36:P36)</f>
        <v>0</v>
      </c>
      <c r="Q37" s="574">
        <f>SUM(Q36:Q36)</f>
        <v>3831.4285714285716</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298</v>
      </c>
      <c r="N39" s="574">
        <f>SUMIF($AA$36:$AA$37,"tertiair",N36:N37)</f>
        <v>1341</v>
      </c>
      <c r="O39" s="574">
        <f>SUMIF($AA$36:$AA$37,"tertiair",O36:O37)</f>
        <v>0</v>
      </c>
      <c r="P39" s="574">
        <f>SUMIF($AA$36:$AA$37,"tertiair",P36:P37)</f>
        <v>0</v>
      </c>
      <c r="Q39" s="574">
        <f>SUMIF($AA$36:$AA$37,"tertiair",Q36:Q37)</f>
        <v>3831.4285714285716</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0.58823635017641462</v>
      </c>
      <c r="C46" s="599">
        <f>IF(ISERROR(N30/(O30+N30)),0,N30/(N30+O30))</f>
        <v>0.41176364982358532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6198.2670920471382</v>
      </c>
      <c r="C49" s="608">
        <f t="shared" si="2"/>
        <v>0</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8854.705880925836</v>
      </c>
      <c r="C50" s="611">
        <f t="shared" si="3"/>
        <v>0</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39915.290710372305</v>
      </c>
      <c r="D10" s="931">
        <f ca="1">tertiair!C16</f>
        <v>0</v>
      </c>
      <c r="E10" s="931">
        <f ca="1">tertiair!D16</f>
        <v>37878.316110550011</v>
      </c>
      <c r="F10" s="931">
        <f>tertiair!E16</f>
        <v>542.63949663852304</v>
      </c>
      <c r="G10" s="931">
        <f ca="1">tertiair!F16</f>
        <v>7512.8779526897206</v>
      </c>
      <c r="H10" s="931">
        <f>tertiair!G16</f>
        <v>0</v>
      </c>
      <c r="I10" s="931">
        <f>tertiair!H16</f>
        <v>0</v>
      </c>
      <c r="J10" s="931">
        <f>tertiair!I16</f>
        <v>0</v>
      </c>
      <c r="K10" s="931">
        <f>tertiair!J16</f>
        <v>7.4918566733680539E-2</v>
      </c>
      <c r="L10" s="931">
        <f>tertiair!K16</f>
        <v>0</v>
      </c>
      <c r="M10" s="931">
        <f ca="1">tertiair!L16</f>
        <v>0</v>
      </c>
      <c r="N10" s="931">
        <f>tertiair!M16</f>
        <v>0</v>
      </c>
      <c r="O10" s="931">
        <f ca="1">tertiair!N16</f>
        <v>0</v>
      </c>
      <c r="P10" s="931">
        <f>tertiair!O16</f>
        <v>7.8166666666666664</v>
      </c>
      <c r="Q10" s="932">
        <f>tertiair!P16</f>
        <v>0</v>
      </c>
      <c r="R10" s="628">
        <f ca="1">SUM(C10:Q10)</f>
        <v>85857.015855483973</v>
      </c>
      <c r="S10" s="67"/>
    </row>
    <row r="11" spans="1:19" s="437" customFormat="1">
      <c r="A11" s="736" t="s">
        <v>213</v>
      </c>
      <c r="B11" s="741"/>
      <c r="C11" s="931">
        <f>huishoudens!B8</f>
        <v>40196.123382012032</v>
      </c>
      <c r="D11" s="931">
        <f>huishoudens!C8</f>
        <v>0</v>
      </c>
      <c r="E11" s="931">
        <f>huishoudens!D8</f>
        <v>99725.089932868854</v>
      </c>
      <c r="F11" s="931">
        <f>huishoudens!E8</f>
        <v>2276.3451109762595</v>
      </c>
      <c r="G11" s="931">
        <f>huishoudens!F8</f>
        <v>52763.908639054891</v>
      </c>
      <c r="H11" s="931">
        <f>huishoudens!G8</f>
        <v>0</v>
      </c>
      <c r="I11" s="931">
        <f>huishoudens!H8</f>
        <v>0</v>
      </c>
      <c r="J11" s="931">
        <f>huishoudens!I8</f>
        <v>0</v>
      </c>
      <c r="K11" s="931">
        <f>huishoudens!J8</f>
        <v>271.16001282718213</v>
      </c>
      <c r="L11" s="931">
        <f>huishoudens!K8</f>
        <v>0</v>
      </c>
      <c r="M11" s="931">
        <f>huishoudens!L8</f>
        <v>0</v>
      </c>
      <c r="N11" s="931">
        <f>huishoudens!M8</f>
        <v>0</v>
      </c>
      <c r="O11" s="931">
        <f>huishoudens!N8</f>
        <v>14440.759936926324</v>
      </c>
      <c r="P11" s="931">
        <f>huishoudens!O8</f>
        <v>347.06000000000006</v>
      </c>
      <c r="Q11" s="932">
        <f>huishoudens!P8</f>
        <v>2898.1333333333332</v>
      </c>
      <c r="R11" s="628">
        <f>SUM(C11:Q11)</f>
        <v>212918.58034799888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116120.69396033141</v>
      </c>
      <c r="D13" s="931">
        <f>industrie!C18</f>
        <v>0</v>
      </c>
      <c r="E13" s="931">
        <f>industrie!D18</f>
        <v>55093.707504068931</v>
      </c>
      <c r="F13" s="931">
        <f>industrie!E18</f>
        <v>7314.4904820075262</v>
      </c>
      <c r="G13" s="931">
        <f>industrie!F18</f>
        <v>19592.577193261168</v>
      </c>
      <c r="H13" s="931">
        <f>industrie!G18</f>
        <v>0</v>
      </c>
      <c r="I13" s="931">
        <f>industrie!H18</f>
        <v>0</v>
      </c>
      <c r="J13" s="931">
        <f>industrie!I18</f>
        <v>0</v>
      </c>
      <c r="K13" s="931">
        <f>industrie!J18</f>
        <v>366.04493529783218</v>
      </c>
      <c r="L13" s="931">
        <f>industrie!K18</f>
        <v>0</v>
      </c>
      <c r="M13" s="931">
        <f>industrie!L18</f>
        <v>0</v>
      </c>
      <c r="N13" s="931">
        <f>industrie!M18</f>
        <v>0</v>
      </c>
      <c r="O13" s="931">
        <f>industrie!N18</f>
        <v>2785.174033844447</v>
      </c>
      <c r="P13" s="931">
        <f>industrie!O18</f>
        <v>0</v>
      </c>
      <c r="Q13" s="932">
        <f>industrie!P18</f>
        <v>0</v>
      </c>
      <c r="R13" s="628">
        <f>SUM(C13:Q13)</f>
        <v>201272.6881088113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196232.10805271575</v>
      </c>
      <c r="D16" s="660">
        <f t="shared" ref="D16:R16" ca="1" si="0">SUM(D9:D15)</f>
        <v>0</v>
      </c>
      <c r="E16" s="660">
        <f t="shared" ca="1" si="0"/>
        <v>192697.1135474878</v>
      </c>
      <c r="F16" s="660">
        <f t="shared" si="0"/>
        <v>10133.475089622309</v>
      </c>
      <c r="G16" s="660">
        <f t="shared" ca="1" si="0"/>
        <v>79869.363785005786</v>
      </c>
      <c r="H16" s="660">
        <f t="shared" si="0"/>
        <v>0</v>
      </c>
      <c r="I16" s="660">
        <f t="shared" si="0"/>
        <v>0</v>
      </c>
      <c r="J16" s="660">
        <f t="shared" si="0"/>
        <v>0</v>
      </c>
      <c r="K16" s="660">
        <f t="shared" si="0"/>
        <v>637.279866691748</v>
      </c>
      <c r="L16" s="660">
        <f t="shared" si="0"/>
        <v>0</v>
      </c>
      <c r="M16" s="660">
        <f t="shared" ca="1" si="0"/>
        <v>0</v>
      </c>
      <c r="N16" s="660">
        <f t="shared" si="0"/>
        <v>0</v>
      </c>
      <c r="O16" s="660">
        <f t="shared" ca="1" si="0"/>
        <v>17225.93397077077</v>
      </c>
      <c r="P16" s="660">
        <f t="shared" si="0"/>
        <v>354.87666666666672</v>
      </c>
      <c r="Q16" s="660">
        <f t="shared" si="0"/>
        <v>2898.1333333333332</v>
      </c>
      <c r="R16" s="660">
        <f t="shared" ca="1" si="0"/>
        <v>500048.2843122941</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18.673189807201965</v>
      </c>
      <c r="D19" s="931">
        <f>transport!C54</f>
        <v>0</v>
      </c>
      <c r="E19" s="931">
        <f>transport!D54</f>
        <v>0</v>
      </c>
      <c r="F19" s="931">
        <f>transport!E54</f>
        <v>0</v>
      </c>
      <c r="G19" s="931">
        <f>transport!F54</f>
        <v>0</v>
      </c>
      <c r="H19" s="931">
        <f>transport!G54</f>
        <v>1754.1608666752695</v>
      </c>
      <c r="I19" s="931">
        <f>transport!H54</f>
        <v>0</v>
      </c>
      <c r="J19" s="931">
        <f>transport!I54</f>
        <v>0</v>
      </c>
      <c r="K19" s="931">
        <f>transport!J54</f>
        <v>0</v>
      </c>
      <c r="L19" s="931">
        <f>transport!K54</f>
        <v>0</v>
      </c>
      <c r="M19" s="931">
        <f>transport!L54</f>
        <v>0</v>
      </c>
      <c r="N19" s="931">
        <f>transport!M54</f>
        <v>101.01685747094071</v>
      </c>
      <c r="O19" s="931">
        <f>transport!N54</f>
        <v>0</v>
      </c>
      <c r="P19" s="931">
        <f>transport!O54</f>
        <v>0</v>
      </c>
      <c r="Q19" s="932">
        <f>transport!P54</f>
        <v>0</v>
      </c>
      <c r="R19" s="628">
        <f>SUM(C19:Q19)</f>
        <v>1873.8509139534121</v>
      </c>
      <c r="S19" s="67"/>
    </row>
    <row r="20" spans="1:19" s="437" customFormat="1">
      <c r="A20" s="736" t="s">
        <v>295</v>
      </c>
      <c r="B20" s="741"/>
      <c r="C20" s="931">
        <f>transport!B14</f>
        <v>127.7701318074562</v>
      </c>
      <c r="D20" s="931">
        <f>transport!C14</f>
        <v>0</v>
      </c>
      <c r="E20" s="931">
        <f>transport!D14</f>
        <v>201.88611730072131</v>
      </c>
      <c r="F20" s="931">
        <f>transport!E14</f>
        <v>378.90122979633782</v>
      </c>
      <c r="G20" s="931">
        <f>transport!F14</f>
        <v>0</v>
      </c>
      <c r="H20" s="931">
        <f>transport!G14</f>
        <v>163809.6924766913</v>
      </c>
      <c r="I20" s="931">
        <f>transport!H14</f>
        <v>35512.176577078615</v>
      </c>
      <c r="J20" s="931">
        <f>transport!I14</f>
        <v>0</v>
      </c>
      <c r="K20" s="931">
        <f>transport!J14</f>
        <v>0</v>
      </c>
      <c r="L20" s="931">
        <f>transport!K14</f>
        <v>0</v>
      </c>
      <c r="M20" s="931">
        <f>transport!L14</f>
        <v>0</v>
      </c>
      <c r="N20" s="931">
        <f>transport!M14</f>
        <v>10616.142694728464</v>
      </c>
      <c r="O20" s="931">
        <f>transport!N14</f>
        <v>0</v>
      </c>
      <c r="P20" s="931">
        <f>transport!O14</f>
        <v>0</v>
      </c>
      <c r="Q20" s="932">
        <f>transport!P14</f>
        <v>0</v>
      </c>
      <c r="R20" s="628">
        <f>SUM(C20:Q20)</f>
        <v>210646.56922740291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146.44332161465815</v>
      </c>
      <c r="D22" s="739">
        <f t="shared" ref="D22:R22" si="1">SUM(D18:D21)</f>
        <v>0</v>
      </c>
      <c r="E22" s="739">
        <f t="shared" si="1"/>
        <v>201.88611730072131</v>
      </c>
      <c r="F22" s="739">
        <f t="shared" si="1"/>
        <v>378.90122979633782</v>
      </c>
      <c r="G22" s="739">
        <f t="shared" si="1"/>
        <v>0</v>
      </c>
      <c r="H22" s="739">
        <f t="shared" si="1"/>
        <v>165563.85334336656</v>
      </c>
      <c r="I22" s="739">
        <f t="shared" si="1"/>
        <v>35512.176577078615</v>
      </c>
      <c r="J22" s="739">
        <f t="shared" si="1"/>
        <v>0</v>
      </c>
      <c r="K22" s="739">
        <f t="shared" si="1"/>
        <v>0</v>
      </c>
      <c r="L22" s="739">
        <f t="shared" si="1"/>
        <v>0</v>
      </c>
      <c r="M22" s="739">
        <f t="shared" si="1"/>
        <v>0</v>
      </c>
      <c r="N22" s="739">
        <f t="shared" si="1"/>
        <v>10717.159552199404</v>
      </c>
      <c r="O22" s="739">
        <f t="shared" si="1"/>
        <v>0</v>
      </c>
      <c r="P22" s="739">
        <f t="shared" si="1"/>
        <v>0</v>
      </c>
      <c r="Q22" s="739">
        <f t="shared" si="1"/>
        <v>0</v>
      </c>
      <c r="R22" s="739">
        <f t="shared" si="1"/>
        <v>212520.42014135633</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3719.4176202712897</v>
      </c>
      <c r="D24" s="931">
        <f>+landbouw!C8</f>
        <v>7527.1756756756758</v>
      </c>
      <c r="E24" s="931">
        <f>+landbouw!D8</f>
        <v>168.01267407886917</v>
      </c>
      <c r="F24" s="931">
        <f>+landbouw!E8</f>
        <v>120.70732848705478</v>
      </c>
      <c r="G24" s="931">
        <f>+landbouw!F8</f>
        <v>13721.653342804822</v>
      </c>
      <c r="H24" s="931">
        <f>+landbouw!G8</f>
        <v>0</v>
      </c>
      <c r="I24" s="931">
        <f>+landbouw!H8</f>
        <v>0</v>
      </c>
      <c r="J24" s="931">
        <f>+landbouw!I8</f>
        <v>0</v>
      </c>
      <c r="K24" s="931">
        <f>+landbouw!J8</f>
        <v>978.16838028366101</v>
      </c>
      <c r="L24" s="931">
        <f>+landbouw!K8</f>
        <v>0</v>
      </c>
      <c r="M24" s="931">
        <f>+landbouw!L8</f>
        <v>0</v>
      </c>
      <c r="N24" s="931">
        <f>+landbouw!M8</f>
        <v>0</v>
      </c>
      <c r="O24" s="931">
        <f>+landbouw!N8</f>
        <v>0</v>
      </c>
      <c r="P24" s="931">
        <f>+landbouw!O8</f>
        <v>0</v>
      </c>
      <c r="Q24" s="932">
        <f>+landbouw!P8</f>
        <v>0</v>
      </c>
      <c r="R24" s="628">
        <f>SUM(C24:Q24)</f>
        <v>26235.135021601371</v>
      </c>
      <c r="S24" s="67"/>
    </row>
    <row r="25" spans="1:19" s="437" customFormat="1" ht="15" thickBot="1">
      <c r="A25" s="758" t="s">
        <v>775</v>
      </c>
      <c r="B25" s="934"/>
      <c r="C25" s="935">
        <f>IF(Onbekend_ele_kWh="---",0,Onbekend_ele_kWh)/1000+IF(REST_rest_ele_kWh="---",0,REST_rest_ele_kWh)/1000</f>
        <v>1148.5290031499098</v>
      </c>
      <c r="D25" s="935"/>
      <c r="E25" s="935">
        <f>IF(onbekend_gas_kWh="---",0,onbekend_gas_kWh)/1000+IF(REST_rest_gas_kWh="---",0,REST_rest_gas_kWh)/1000</f>
        <v>4889.9514305685097</v>
      </c>
      <c r="F25" s="935"/>
      <c r="G25" s="935"/>
      <c r="H25" s="935"/>
      <c r="I25" s="935"/>
      <c r="J25" s="935"/>
      <c r="K25" s="935"/>
      <c r="L25" s="935"/>
      <c r="M25" s="935"/>
      <c r="N25" s="935"/>
      <c r="O25" s="935"/>
      <c r="P25" s="935"/>
      <c r="Q25" s="936"/>
      <c r="R25" s="628">
        <f>SUM(C25:Q25)</f>
        <v>6038.4804337184196</v>
      </c>
      <c r="S25" s="67"/>
    </row>
    <row r="26" spans="1:19" s="437" customFormat="1" ht="15.75" thickBot="1">
      <c r="A26" s="633" t="s">
        <v>776</v>
      </c>
      <c r="B26" s="744"/>
      <c r="C26" s="739">
        <f>SUM(C24:C25)</f>
        <v>4867.9466234211995</v>
      </c>
      <c r="D26" s="739">
        <f t="shared" ref="D26:R26" si="2">SUM(D24:D25)</f>
        <v>7527.1756756756758</v>
      </c>
      <c r="E26" s="739">
        <f t="shared" si="2"/>
        <v>5057.9641046473789</v>
      </c>
      <c r="F26" s="739">
        <f t="shared" si="2"/>
        <v>120.70732848705478</v>
      </c>
      <c r="G26" s="739">
        <f t="shared" si="2"/>
        <v>13721.653342804822</v>
      </c>
      <c r="H26" s="739">
        <f t="shared" si="2"/>
        <v>0</v>
      </c>
      <c r="I26" s="739">
        <f t="shared" si="2"/>
        <v>0</v>
      </c>
      <c r="J26" s="739">
        <f t="shared" si="2"/>
        <v>0</v>
      </c>
      <c r="K26" s="739">
        <f t="shared" si="2"/>
        <v>978.16838028366101</v>
      </c>
      <c r="L26" s="739">
        <f t="shared" si="2"/>
        <v>0</v>
      </c>
      <c r="M26" s="739">
        <f t="shared" si="2"/>
        <v>0</v>
      </c>
      <c r="N26" s="739">
        <f t="shared" si="2"/>
        <v>0</v>
      </c>
      <c r="O26" s="739">
        <f t="shared" si="2"/>
        <v>0</v>
      </c>
      <c r="P26" s="739">
        <f t="shared" si="2"/>
        <v>0</v>
      </c>
      <c r="Q26" s="739">
        <f t="shared" si="2"/>
        <v>0</v>
      </c>
      <c r="R26" s="739">
        <f t="shared" si="2"/>
        <v>32273.615455319792</v>
      </c>
      <c r="S26" s="67"/>
    </row>
    <row r="27" spans="1:19" s="437" customFormat="1" ht="17.25" thickTop="1" thickBot="1">
      <c r="A27" s="634" t="s">
        <v>109</v>
      </c>
      <c r="B27" s="732"/>
      <c r="C27" s="635">
        <f ca="1">C22+C16+C26</f>
        <v>201246.4979977516</v>
      </c>
      <c r="D27" s="635">
        <f t="shared" ref="D27:R27" ca="1" si="3">D22+D16+D26</f>
        <v>7527.1756756756758</v>
      </c>
      <c r="E27" s="635">
        <f t="shared" ca="1" si="3"/>
        <v>197956.96376943588</v>
      </c>
      <c r="F27" s="635">
        <f t="shared" si="3"/>
        <v>10633.083647905702</v>
      </c>
      <c r="G27" s="635">
        <f t="shared" ca="1" si="3"/>
        <v>93591.017127810614</v>
      </c>
      <c r="H27" s="635">
        <f t="shared" si="3"/>
        <v>165563.85334336656</v>
      </c>
      <c r="I27" s="635">
        <f t="shared" si="3"/>
        <v>35512.176577078615</v>
      </c>
      <c r="J27" s="635">
        <f t="shared" si="3"/>
        <v>0</v>
      </c>
      <c r="K27" s="635">
        <f t="shared" si="3"/>
        <v>1615.4482469754089</v>
      </c>
      <c r="L27" s="635">
        <f t="shared" si="3"/>
        <v>0</v>
      </c>
      <c r="M27" s="635">
        <f t="shared" ca="1" si="3"/>
        <v>0</v>
      </c>
      <c r="N27" s="635">
        <f t="shared" si="3"/>
        <v>10717.159552199404</v>
      </c>
      <c r="O27" s="635">
        <f t="shared" ca="1" si="3"/>
        <v>17225.93397077077</v>
      </c>
      <c r="P27" s="635">
        <f t="shared" si="3"/>
        <v>354.87666666666672</v>
      </c>
      <c r="Q27" s="635">
        <f t="shared" si="3"/>
        <v>2898.1333333333332</v>
      </c>
      <c r="R27" s="635">
        <f t="shared" ca="1" si="3"/>
        <v>744842.31990897015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7269.1603843776529</v>
      </c>
      <c r="D40" s="931">
        <f ca="1">tertiair!C20</f>
        <v>0</v>
      </c>
      <c r="E40" s="931">
        <f ca="1">tertiair!D20</f>
        <v>7651.4198543311031</v>
      </c>
      <c r="F40" s="931">
        <f>tertiair!E20</f>
        <v>123.17916573694474</v>
      </c>
      <c r="G40" s="931">
        <f ca="1">tertiair!F20</f>
        <v>2005.9384133681556</v>
      </c>
      <c r="H40" s="931">
        <f>tertiair!G20</f>
        <v>0</v>
      </c>
      <c r="I40" s="931">
        <f>tertiair!H20</f>
        <v>0</v>
      </c>
      <c r="J40" s="931">
        <f>tertiair!I20</f>
        <v>0</v>
      </c>
      <c r="K40" s="931">
        <f>tertiair!J20</f>
        <v>2.6521172623722909E-2</v>
      </c>
      <c r="L40" s="931">
        <f>tertiair!K20</f>
        <v>0</v>
      </c>
      <c r="M40" s="931">
        <f ca="1">tertiair!L20</f>
        <v>0</v>
      </c>
      <c r="N40" s="931">
        <f>tertiair!M20</f>
        <v>0</v>
      </c>
      <c r="O40" s="931">
        <f ca="1">tertiair!N20</f>
        <v>0</v>
      </c>
      <c r="P40" s="931">
        <f>tertiair!O20</f>
        <v>0</v>
      </c>
      <c r="Q40" s="702">
        <f>tertiair!P20</f>
        <v>0</v>
      </c>
      <c r="R40" s="777">
        <f t="shared" ca="1" si="4"/>
        <v>17049.724338986482</v>
      </c>
    </row>
    <row r="41" spans="1:18">
      <c r="A41" s="749" t="s">
        <v>213</v>
      </c>
      <c r="B41" s="756"/>
      <c r="C41" s="931">
        <f ca="1">huishoudens!B12</f>
        <v>7320.3041364333531</v>
      </c>
      <c r="D41" s="931">
        <f ca="1">huishoudens!C12</f>
        <v>0</v>
      </c>
      <c r="E41" s="931">
        <f>huishoudens!D12</f>
        <v>20144.46816643951</v>
      </c>
      <c r="F41" s="931">
        <f>huishoudens!E12</f>
        <v>516.73034019161094</v>
      </c>
      <c r="G41" s="931">
        <f>huishoudens!F12</f>
        <v>14087.963606627656</v>
      </c>
      <c r="H41" s="931">
        <f>huishoudens!G12</f>
        <v>0</v>
      </c>
      <c r="I41" s="931">
        <f>huishoudens!H12</f>
        <v>0</v>
      </c>
      <c r="J41" s="931">
        <f>huishoudens!I12</f>
        <v>0</v>
      </c>
      <c r="K41" s="931">
        <f>huishoudens!J12</f>
        <v>95.990644540822473</v>
      </c>
      <c r="L41" s="931">
        <f>huishoudens!K12</f>
        <v>0</v>
      </c>
      <c r="M41" s="931">
        <f>huishoudens!L12</f>
        <v>0</v>
      </c>
      <c r="N41" s="931">
        <f>huishoudens!M12</f>
        <v>0</v>
      </c>
      <c r="O41" s="931">
        <f>huishoudens!N12</f>
        <v>0</v>
      </c>
      <c r="P41" s="931">
        <f>huishoudens!O12</f>
        <v>0</v>
      </c>
      <c r="Q41" s="702">
        <f>huishoudens!P12</f>
        <v>0</v>
      </c>
      <c r="R41" s="777">
        <f t="shared" ca="1" si="4"/>
        <v>42165.45689423295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21147.28299156635</v>
      </c>
      <c r="D43" s="931">
        <f ca="1">industrie!C22</f>
        <v>0</v>
      </c>
      <c r="E43" s="931">
        <f>industrie!D22</f>
        <v>11128.928915821925</v>
      </c>
      <c r="F43" s="931">
        <f>industrie!E22</f>
        <v>1660.3893394157085</v>
      </c>
      <c r="G43" s="931">
        <f>industrie!F22</f>
        <v>5231.218110600732</v>
      </c>
      <c r="H43" s="931">
        <f>industrie!G22</f>
        <v>0</v>
      </c>
      <c r="I43" s="931">
        <f>industrie!H22</f>
        <v>0</v>
      </c>
      <c r="J43" s="931">
        <f>industrie!I22</f>
        <v>0</v>
      </c>
      <c r="K43" s="931">
        <f>industrie!J22</f>
        <v>129.57990709543259</v>
      </c>
      <c r="L43" s="931">
        <f>industrie!K22</f>
        <v>0</v>
      </c>
      <c r="M43" s="931">
        <f>industrie!L22</f>
        <v>0</v>
      </c>
      <c r="N43" s="931">
        <f>industrie!M22</f>
        <v>0</v>
      </c>
      <c r="O43" s="931">
        <f>industrie!N22</f>
        <v>0</v>
      </c>
      <c r="P43" s="931">
        <f>industrie!O22</f>
        <v>0</v>
      </c>
      <c r="Q43" s="702">
        <f>industrie!P22</f>
        <v>0</v>
      </c>
      <c r="R43" s="776">
        <f t="shared" ca="1" si="4"/>
        <v>39297.399264500149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35736.747512377355</v>
      </c>
      <c r="D46" s="660">
        <f t="shared" ref="D46:Q46" ca="1" si="5">SUM(D39:D45)</f>
        <v>0</v>
      </c>
      <c r="E46" s="660">
        <f t="shared" ca="1" si="5"/>
        <v>38924.816936592542</v>
      </c>
      <c r="F46" s="660">
        <f t="shared" si="5"/>
        <v>2300.298845344264</v>
      </c>
      <c r="G46" s="660">
        <f t="shared" ca="1" si="5"/>
        <v>21325.120130596544</v>
      </c>
      <c r="H46" s="660">
        <f t="shared" si="5"/>
        <v>0</v>
      </c>
      <c r="I46" s="660">
        <f t="shared" si="5"/>
        <v>0</v>
      </c>
      <c r="J46" s="660">
        <f t="shared" si="5"/>
        <v>0</v>
      </c>
      <c r="K46" s="660">
        <f t="shared" si="5"/>
        <v>225.59707280887878</v>
      </c>
      <c r="L46" s="660">
        <f t="shared" si="5"/>
        <v>0</v>
      </c>
      <c r="M46" s="660">
        <f t="shared" ca="1" si="5"/>
        <v>0</v>
      </c>
      <c r="N46" s="660">
        <f t="shared" si="5"/>
        <v>0</v>
      </c>
      <c r="O46" s="660">
        <f t="shared" ca="1" si="5"/>
        <v>0</v>
      </c>
      <c r="P46" s="660">
        <f t="shared" si="5"/>
        <v>0</v>
      </c>
      <c r="Q46" s="660">
        <f t="shared" si="5"/>
        <v>0</v>
      </c>
      <c r="R46" s="660">
        <f ca="1">SUM(R39:R45)</f>
        <v>98512.58049771958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3.4006619814296983</v>
      </c>
      <c r="D49" s="931">
        <f ca="1">transport!C58</f>
        <v>0</v>
      </c>
      <c r="E49" s="931">
        <f>transport!D58</f>
        <v>0</v>
      </c>
      <c r="F49" s="931">
        <f>transport!E58</f>
        <v>0</v>
      </c>
      <c r="G49" s="931">
        <f>transport!F58</f>
        <v>0</v>
      </c>
      <c r="H49" s="931">
        <f>transport!G58</f>
        <v>468.36095140229696</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471.76161338372668</v>
      </c>
    </row>
    <row r="50" spans="1:18">
      <c r="A50" s="752" t="s">
        <v>295</v>
      </c>
      <c r="B50" s="762"/>
      <c r="C50" s="631">
        <f ca="1">transport!B18</f>
        <v>23.268816634225853</v>
      </c>
      <c r="D50" s="631">
        <f>transport!C18</f>
        <v>0</v>
      </c>
      <c r="E50" s="631">
        <f>transport!D18</f>
        <v>40.780995694745705</v>
      </c>
      <c r="F50" s="631">
        <f>transport!E18</f>
        <v>86.010579163768682</v>
      </c>
      <c r="G50" s="631">
        <f>transport!F18</f>
        <v>0</v>
      </c>
      <c r="H50" s="631">
        <f>transport!G18</f>
        <v>43737.187891276582</v>
      </c>
      <c r="I50" s="631">
        <f>transport!H18</f>
        <v>8842.5319676925756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52729.780250461903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26.669478615655553</v>
      </c>
      <c r="D52" s="660">
        <f t="shared" ref="D52:Q52" ca="1" si="6">SUM(D48:D51)</f>
        <v>0</v>
      </c>
      <c r="E52" s="660">
        <f t="shared" si="6"/>
        <v>40.780995694745705</v>
      </c>
      <c r="F52" s="660">
        <f t="shared" si="6"/>
        <v>86.010579163768682</v>
      </c>
      <c r="G52" s="660">
        <f t="shared" si="6"/>
        <v>0</v>
      </c>
      <c r="H52" s="660">
        <f t="shared" si="6"/>
        <v>44205.54884267888</v>
      </c>
      <c r="I52" s="660">
        <f t="shared" si="6"/>
        <v>8842.5319676925756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53201.541863845632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677.36054872842192</v>
      </c>
      <c r="D54" s="631">
        <f ca="1">+landbouw!C12</f>
        <v>1788.6505879470189</v>
      </c>
      <c r="E54" s="631">
        <f>+landbouw!D12</f>
        <v>33.938560163931577</v>
      </c>
      <c r="F54" s="631">
        <f>+landbouw!E12</f>
        <v>27.400563566561438</v>
      </c>
      <c r="G54" s="631">
        <f>+landbouw!F12</f>
        <v>3663.6814425288876</v>
      </c>
      <c r="H54" s="631">
        <f>+landbouw!G12</f>
        <v>0</v>
      </c>
      <c r="I54" s="631">
        <f>+landbouw!H12</f>
        <v>0</v>
      </c>
      <c r="J54" s="631">
        <f>+landbouw!I12</f>
        <v>0</v>
      </c>
      <c r="K54" s="631">
        <f>+landbouw!J12</f>
        <v>346.27160662041598</v>
      </c>
      <c r="L54" s="631">
        <f>+landbouw!K12</f>
        <v>0</v>
      </c>
      <c r="M54" s="631">
        <f>+landbouw!L12</f>
        <v>0</v>
      </c>
      <c r="N54" s="631">
        <f>+landbouw!M12</f>
        <v>0</v>
      </c>
      <c r="O54" s="631">
        <f>+landbouw!N12</f>
        <v>0</v>
      </c>
      <c r="P54" s="631">
        <f>+landbouw!O12</f>
        <v>0</v>
      </c>
      <c r="Q54" s="632">
        <f>+landbouw!P12</f>
        <v>0</v>
      </c>
      <c r="R54" s="659">
        <f ca="1">SUM(C54:Q54)</f>
        <v>6537.3033095552364</v>
      </c>
    </row>
    <row r="55" spans="1:18" ht="15" thickBot="1">
      <c r="A55" s="752" t="s">
        <v>775</v>
      </c>
      <c r="B55" s="762"/>
      <c r="C55" s="631">
        <f ca="1">C25*'EF ele_warmte'!B12</f>
        <v>209.16399157871018</v>
      </c>
      <c r="D55" s="631"/>
      <c r="E55" s="631">
        <f>E25*EF_CO2_aardgas</f>
        <v>987.77018897483902</v>
      </c>
      <c r="F55" s="631"/>
      <c r="G55" s="631"/>
      <c r="H55" s="631"/>
      <c r="I55" s="631"/>
      <c r="J55" s="631"/>
      <c r="K55" s="631"/>
      <c r="L55" s="631"/>
      <c r="M55" s="631"/>
      <c r="N55" s="631"/>
      <c r="O55" s="631"/>
      <c r="P55" s="631"/>
      <c r="Q55" s="632"/>
      <c r="R55" s="659">
        <f ca="1">SUM(C55:Q55)</f>
        <v>1196.9341805535491</v>
      </c>
    </row>
    <row r="56" spans="1:18" ht="15.75" thickBot="1">
      <c r="A56" s="750" t="s">
        <v>776</v>
      </c>
      <c r="B56" s="763"/>
      <c r="C56" s="660">
        <f ca="1">SUM(C54:C55)</f>
        <v>886.52454030713216</v>
      </c>
      <c r="D56" s="660">
        <f t="shared" ref="D56:Q56" ca="1" si="7">SUM(D54:D55)</f>
        <v>1788.6505879470189</v>
      </c>
      <c r="E56" s="660">
        <f t="shared" si="7"/>
        <v>1021.7087491387706</v>
      </c>
      <c r="F56" s="660">
        <f t="shared" si="7"/>
        <v>27.400563566561438</v>
      </c>
      <c r="G56" s="660">
        <f t="shared" si="7"/>
        <v>3663.6814425288876</v>
      </c>
      <c r="H56" s="660">
        <f t="shared" si="7"/>
        <v>0</v>
      </c>
      <c r="I56" s="660">
        <f t="shared" si="7"/>
        <v>0</v>
      </c>
      <c r="J56" s="660">
        <f t="shared" si="7"/>
        <v>0</v>
      </c>
      <c r="K56" s="660">
        <f t="shared" si="7"/>
        <v>346.27160662041598</v>
      </c>
      <c r="L56" s="660">
        <f t="shared" si="7"/>
        <v>0</v>
      </c>
      <c r="M56" s="660">
        <f t="shared" si="7"/>
        <v>0</v>
      </c>
      <c r="N56" s="660">
        <f t="shared" si="7"/>
        <v>0</v>
      </c>
      <c r="O56" s="660">
        <f t="shared" si="7"/>
        <v>0</v>
      </c>
      <c r="P56" s="660">
        <f t="shared" si="7"/>
        <v>0</v>
      </c>
      <c r="Q56" s="661">
        <f t="shared" si="7"/>
        <v>0</v>
      </c>
      <c r="R56" s="662">
        <f ca="1">SUM(R54:R55)</f>
        <v>7734.237490108786</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36649.941531300145</v>
      </c>
      <c r="D61" s="668">
        <f t="shared" ref="D61:Q61" ca="1" si="8">D46+D52+D56</f>
        <v>1788.6505879470189</v>
      </c>
      <c r="E61" s="668">
        <f t="shared" ca="1" si="8"/>
        <v>39987.30668142606</v>
      </c>
      <c r="F61" s="668">
        <f t="shared" si="8"/>
        <v>2413.7099880745941</v>
      </c>
      <c r="G61" s="668">
        <f t="shared" ca="1" si="8"/>
        <v>24988.801573125431</v>
      </c>
      <c r="H61" s="668">
        <f t="shared" si="8"/>
        <v>44205.54884267888</v>
      </c>
      <c r="I61" s="668">
        <f t="shared" si="8"/>
        <v>8842.5319676925756</v>
      </c>
      <c r="J61" s="668">
        <f t="shared" si="8"/>
        <v>0</v>
      </c>
      <c r="K61" s="668">
        <f t="shared" si="8"/>
        <v>571.86867942929473</v>
      </c>
      <c r="L61" s="668">
        <f t="shared" si="8"/>
        <v>0</v>
      </c>
      <c r="M61" s="668">
        <f t="shared" ca="1" si="8"/>
        <v>0</v>
      </c>
      <c r="N61" s="668">
        <f t="shared" si="8"/>
        <v>0</v>
      </c>
      <c r="O61" s="668">
        <f t="shared" ca="1" si="8"/>
        <v>0</v>
      </c>
      <c r="P61" s="668">
        <f t="shared" si="8"/>
        <v>0</v>
      </c>
      <c r="Q61" s="668">
        <f t="shared" si="8"/>
        <v>0</v>
      </c>
      <c r="R61" s="668">
        <f ca="1">R46+R52+R56</f>
        <v>159448.359851674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0.18211467973822634</v>
      </c>
      <c r="D63" s="709">
        <f t="shared" ca="1" si="9"/>
        <v>0.23762572643642477</v>
      </c>
      <c r="E63" s="942">
        <f t="shared" ca="1" si="9"/>
        <v>0.20200000000000007</v>
      </c>
      <c r="F63" s="709">
        <f t="shared" si="9"/>
        <v>0.22699999999999998</v>
      </c>
      <c r="G63" s="709">
        <f t="shared" ca="1" si="9"/>
        <v>0.26699999999999996</v>
      </c>
      <c r="H63" s="709">
        <f t="shared" si="9"/>
        <v>0.26700000000000007</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19635.908627902805</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14829.134262579024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5269</v>
      </c>
      <c r="D76" s="952">
        <f>'lokale energieproductie'!C8</f>
        <v>6198.2670920471382</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1252.049952593522</v>
      </c>
      <c r="R76" s="779">
        <v>0</v>
      </c>
    </row>
    <row r="77" spans="1:18" ht="30.75" thickBot="1">
      <c r="A77" s="681" t="s">
        <v>339</v>
      </c>
      <c r="B77" s="678">
        <f>'lokale energieproductie'!B9*IFERROR(SUM(I77:O77)/SUM(D77:O77),0)</f>
        <v>1341</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3831.4285714285716</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35806.042890481825</v>
      </c>
      <c r="C78" s="683">
        <f>SUM(C72:C77)</f>
        <v>5269</v>
      </c>
      <c r="D78" s="684">
        <f t="shared" ref="D78:H78" si="10">SUM(D76:D77)</f>
        <v>6198.2670920471382</v>
      </c>
      <c r="E78" s="684">
        <f t="shared" si="10"/>
        <v>0</v>
      </c>
      <c r="F78" s="684">
        <f t="shared" si="10"/>
        <v>0</v>
      </c>
      <c r="G78" s="684">
        <f t="shared" si="10"/>
        <v>0</v>
      </c>
      <c r="H78" s="684">
        <f t="shared" si="10"/>
        <v>0</v>
      </c>
      <c r="I78" s="684">
        <f>SUM(I76:I77)</f>
        <v>0</v>
      </c>
      <c r="J78" s="684">
        <f>SUM(J76:J77)</f>
        <v>3831.4285714285716</v>
      </c>
      <c r="K78" s="684">
        <f t="shared" ref="K78:L78" si="11">SUM(K76:K77)</f>
        <v>0</v>
      </c>
      <c r="L78" s="684">
        <f t="shared" si="11"/>
        <v>0</v>
      </c>
      <c r="M78" s="684">
        <f>SUM(M76:M77)</f>
        <v>0</v>
      </c>
      <c r="N78" s="684">
        <f>SUM(N76:N77)</f>
        <v>0</v>
      </c>
      <c r="O78" s="787">
        <f>SUM(O76:O77)</f>
        <v>0</v>
      </c>
      <c r="P78" s="685">
        <v>0</v>
      </c>
      <c r="Q78" s="685">
        <f>SUM(Q76:Q77)</f>
        <v>1252.049952593522</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7527.1756756756758</v>
      </c>
      <c r="D87" s="705">
        <f>'lokale energieproductie'!C17</f>
        <v>8854.705880925836</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1788.6505879470189</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7527.1756756756758</v>
      </c>
      <c r="D90" s="683">
        <f t="shared" ref="D90:H90" si="12">SUM(D87:D89)</f>
        <v>8854.705880925836</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1788.6505879470189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40196.123382012032</v>
      </c>
      <c r="C4" s="441">
        <f>huishoudens!C8</f>
        <v>0</v>
      </c>
      <c r="D4" s="441">
        <f>huishoudens!D8</f>
        <v>99725.089932868854</v>
      </c>
      <c r="E4" s="441">
        <f>huishoudens!E8</f>
        <v>2276.3451109762595</v>
      </c>
      <c r="F4" s="441">
        <f>huishoudens!F8</f>
        <v>52763.908639054891</v>
      </c>
      <c r="G4" s="441">
        <f>huishoudens!G8</f>
        <v>0</v>
      </c>
      <c r="H4" s="441">
        <f>huishoudens!H8</f>
        <v>0</v>
      </c>
      <c r="I4" s="441">
        <f>huishoudens!I8</f>
        <v>0</v>
      </c>
      <c r="J4" s="441">
        <f>huishoudens!J8</f>
        <v>271.16001282718213</v>
      </c>
      <c r="K4" s="441">
        <f>huishoudens!K8</f>
        <v>0</v>
      </c>
      <c r="L4" s="441">
        <f>huishoudens!L8</f>
        <v>0</v>
      </c>
      <c r="M4" s="441">
        <f>huishoudens!M8</f>
        <v>0</v>
      </c>
      <c r="N4" s="441">
        <f>huishoudens!N8</f>
        <v>14440.759936926324</v>
      </c>
      <c r="O4" s="441">
        <f>huishoudens!O8</f>
        <v>347.06000000000006</v>
      </c>
      <c r="P4" s="442">
        <f>huishoudens!P8</f>
        <v>2898.1333333333332</v>
      </c>
      <c r="Q4" s="443">
        <f>SUM(B4:P4)</f>
        <v>212918.58034799888</v>
      </c>
    </row>
    <row r="5" spans="1:17">
      <c r="A5" s="440" t="s">
        <v>149</v>
      </c>
      <c r="B5" s="441">
        <f ca="1">tertiair!B16</f>
        <v>37793.652710372306</v>
      </c>
      <c r="C5" s="441">
        <f ca="1">tertiair!C16</f>
        <v>0</v>
      </c>
      <c r="D5" s="441">
        <f ca="1">tertiair!D16</f>
        <v>37878.316110550011</v>
      </c>
      <c r="E5" s="441">
        <f>tertiair!E16</f>
        <v>542.63949663852304</v>
      </c>
      <c r="F5" s="441">
        <f ca="1">tertiair!F16</f>
        <v>7512.8779526897206</v>
      </c>
      <c r="G5" s="441">
        <f>tertiair!G16</f>
        <v>0</v>
      </c>
      <c r="H5" s="441">
        <f>tertiair!H16</f>
        <v>0</v>
      </c>
      <c r="I5" s="441">
        <f>tertiair!I16</f>
        <v>0</v>
      </c>
      <c r="J5" s="441">
        <f>tertiair!J16</f>
        <v>7.4918566733680539E-2</v>
      </c>
      <c r="K5" s="441">
        <f>tertiair!K16</f>
        <v>0</v>
      </c>
      <c r="L5" s="441">
        <f ca="1">tertiair!L16</f>
        <v>0</v>
      </c>
      <c r="M5" s="441">
        <f>tertiair!M16</f>
        <v>0</v>
      </c>
      <c r="N5" s="441">
        <f ca="1">tertiair!N16</f>
        <v>0</v>
      </c>
      <c r="O5" s="441">
        <f>tertiair!O16</f>
        <v>7.8166666666666664</v>
      </c>
      <c r="P5" s="442">
        <f>tertiair!P16</f>
        <v>0</v>
      </c>
      <c r="Q5" s="440">
        <f t="shared" ref="Q5:Q14" ca="1" si="0">SUM(B5:P5)</f>
        <v>83735.377855483966</v>
      </c>
    </row>
    <row r="6" spans="1:17">
      <c r="A6" s="440" t="s">
        <v>187</v>
      </c>
      <c r="B6" s="441">
        <f>'openbare verlichting'!B8</f>
        <v>2121.6379999999999</v>
      </c>
      <c r="C6" s="441"/>
      <c r="D6" s="441"/>
      <c r="E6" s="441"/>
      <c r="F6" s="441"/>
      <c r="G6" s="441"/>
      <c r="H6" s="441"/>
      <c r="I6" s="441"/>
      <c r="J6" s="441"/>
      <c r="K6" s="441"/>
      <c r="L6" s="441"/>
      <c r="M6" s="441"/>
      <c r="N6" s="441"/>
      <c r="O6" s="441"/>
      <c r="P6" s="442"/>
      <c r="Q6" s="440">
        <f t="shared" si="0"/>
        <v>2121.6379999999999</v>
      </c>
    </row>
    <row r="7" spans="1:17">
      <c r="A7" s="440" t="s">
        <v>105</v>
      </c>
      <c r="B7" s="441">
        <f>landbouw!B8</f>
        <v>3719.4176202712897</v>
      </c>
      <c r="C7" s="441">
        <f>landbouw!C8</f>
        <v>7527.1756756756758</v>
      </c>
      <c r="D7" s="441">
        <f>landbouw!D8</f>
        <v>168.01267407886917</v>
      </c>
      <c r="E7" s="441">
        <f>landbouw!E8</f>
        <v>120.70732848705478</v>
      </c>
      <c r="F7" s="441">
        <f>landbouw!F8</f>
        <v>13721.653342804822</v>
      </c>
      <c r="G7" s="441">
        <f>landbouw!G8</f>
        <v>0</v>
      </c>
      <c r="H7" s="441">
        <f>landbouw!H8</f>
        <v>0</v>
      </c>
      <c r="I7" s="441">
        <f>landbouw!I8</f>
        <v>0</v>
      </c>
      <c r="J7" s="441">
        <f>landbouw!J8</f>
        <v>978.16838028366101</v>
      </c>
      <c r="K7" s="441">
        <f>landbouw!K8</f>
        <v>0</v>
      </c>
      <c r="L7" s="441">
        <f>landbouw!L8</f>
        <v>0</v>
      </c>
      <c r="M7" s="441">
        <f>landbouw!M8</f>
        <v>0</v>
      </c>
      <c r="N7" s="441">
        <f>landbouw!N8</f>
        <v>0</v>
      </c>
      <c r="O7" s="441">
        <f>landbouw!O8</f>
        <v>0</v>
      </c>
      <c r="P7" s="442">
        <f>landbouw!P8</f>
        <v>0</v>
      </c>
      <c r="Q7" s="440">
        <f t="shared" si="0"/>
        <v>26235.135021601371</v>
      </c>
    </row>
    <row r="8" spans="1:17">
      <c r="A8" s="440" t="s">
        <v>596</v>
      </c>
      <c r="B8" s="441">
        <f>industrie!B18</f>
        <v>116120.69396033141</v>
      </c>
      <c r="C8" s="441">
        <f>industrie!C18</f>
        <v>0</v>
      </c>
      <c r="D8" s="441">
        <f>industrie!D18</f>
        <v>55093.707504068931</v>
      </c>
      <c r="E8" s="441">
        <f>industrie!E18</f>
        <v>7314.4904820075262</v>
      </c>
      <c r="F8" s="441">
        <f>industrie!F18</f>
        <v>19592.577193261168</v>
      </c>
      <c r="G8" s="441">
        <f>industrie!G18</f>
        <v>0</v>
      </c>
      <c r="H8" s="441">
        <f>industrie!H18</f>
        <v>0</v>
      </c>
      <c r="I8" s="441">
        <f>industrie!I18</f>
        <v>0</v>
      </c>
      <c r="J8" s="441">
        <f>industrie!J18</f>
        <v>366.04493529783218</v>
      </c>
      <c r="K8" s="441">
        <f>industrie!K18</f>
        <v>0</v>
      </c>
      <c r="L8" s="441">
        <f>industrie!L18</f>
        <v>0</v>
      </c>
      <c r="M8" s="441">
        <f>industrie!M18</f>
        <v>0</v>
      </c>
      <c r="N8" s="441">
        <f>industrie!N18</f>
        <v>2785.174033844447</v>
      </c>
      <c r="O8" s="441">
        <f>industrie!O18</f>
        <v>0</v>
      </c>
      <c r="P8" s="442">
        <f>industrie!P18</f>
        <v>0</v>
      </c>
      <c r="Q8" s="440">
        <f t="shared" si="0"/>
        <v>201272.6881088113</v>
      </c>
    </row>
    <row r="9" spans="1:17" s="446" customFormat="1">
      <c r="A9" s="444" t="s">
        <v>545</v>
      </c>
      <c r="B9" s="445">
        <f>transport!B14</f>
        <v>127.7701318074562</v>
      </c>
      <c r="C9" s="445">
        <f>transport!C14</f>
        <v>0</v>
      </c>
      <c r="D9" s="445">
        <f>transport!D14</f>
        <v>201.88611730072131</v>
      </c>
      <c r="E9" s="445">
        <f>transport!E14</f>
        <v>378.90122979633782</v>
      </c>
      <c r="F9" s="445">
        <f>transport!F14</f>
        <v>0</v>
      </c>
      <c r="G9" s="445">
        <f>transport!G14</f>
        <v>163809.6924766913</v>
      </c>
      <c r="H9" s="445">
        <f>transport!H14</f>
        <v>35512.176577078615</v>
      </c>
      <c r="I9" s="445">
        <f>transport!I14</f>
        <v>0</v>
      </c>
      <c r="J9" s="445">
        <f>transport!J14</f>
        <v>0</v>
      </c>
      <c r="K9" s="445">
        <f>transport!K14</f>
        <v>0</v>
      </c>
      <c r="L9" s="445">
        <f>transport!L14</f>
        <v>0</v>
      </c>
      <c r="M9" s="445">
        <f>transport!M14</f>
        <v>10616.142694728464</v>
      </c>
      <c r="N9" s="445">
        <f>transport!N14</f>
        <v>0</v>
      </c>
      <c r="O9" s="445">
        <f>transport!O14</f>
        <v>0</v>
      </c>
      <c r="P9" s="445">
        <f>transport!P14</f>
        <v>0</v>
      </c>
      <c r="Q9" s="444">
        <f>SUM(B9:P9)</f>
        <v>210646.56922740291</v>
      </c>
    </row>
    <row r="10" spans="1:17">
      <c r="A10" s="440" t="s">
        <v>535</v>
      </c>
      <c r="B10" s="441">
        <f>transport!B54</f>
        <v>18.673189807201965</v>
      </c>
      <c r="C10" s="441">
        <f>transport!C54</f>
        <v>0</v>
      </c>
      <c r="D10" s="441">
        <f>transport!D54</f>
        <v>0</v>
      </c>
      <c r="E10" s="441">
        <f>transport!E54</f>
        <v>0</v>
      </c>
      <c r="F10" s="441">
        <f>transport!F54</f>
        <v>0</v>
      </c>
      <c r="G10" s="441">
        <f>transport!G54</f>
        <v>1754.1608666752695</v>
      </c>
      <c r="H10" s="441">
        <f>transport!H54</f>
        <v>0</v>
      </c>
      <c r="I10" s="441">
        <f>transport!I54</f>
        <v>0</v>
      </c>
      <c r="J10" s="441">
        <f>transport!J54</f>
        <v>0</v>
      </c>
      <c r="K10" s="441">
        <f>transport!K54</f>
        <v>0</v>
      </c>
      <c r="L10" s="441">
        <f>transport!L54</f>
        <v>0</v>
      </c>
      <c r="M10" s="441">
        <f>transport!M54</f>
        <v>101.01685747094071</v>
      </c>
      <c r="N10" s="441">
        <f>transport!N54</f>
        <v>0</v>
      </c>
      <c r="O10" s="441">
        <f>transport!O54</f>
        <v>0</v>
      </c>
      <c r="P10" s="442">
        <f>transport!P54</f>
        <v>0</v>
      </c>
      <c r="Q10" s="440">
        <f t="shared" si="0"/>
        <v>1873.8509139534121</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1148.5290031499098</v>
      </c>
      <c r="C14" s="448"/>
      <c r="D14" s="448">
        <f>'SEAP template'!E25</f>
        <v>4889.9514305685097</v>
      </c>
      <c r="E14" s="448"/>
      <c r="F14" s="448"/>
      <c r="G14" s="448"/>
      <c r="H14" s="448"/>
      <c r="I14" s="448"/>
      <c r="J14" s="448"/>
      <c r="K14" s="448"/>
      <c r="L14" s="448"/>
      <c r="M14" s="448"/>
      <c r="N14" s="448"/>
      <c r="O14" s="448"/>
      <c r="P14" s="449"/>
      <c r="Q14" s="440">
        <f t="shared" si="0"/>
        <v>6038.4804337184196</v>
      </c>
    </row>
    <row r="15" spans="1:17" s="450" customFormat="1">
      <c r="A15" s="957" t="s">
        <v>539</v>
      </c>
      <c r="B15" s="905">
        <f ca="1">SUM(B4:B14)</f>
        <v>201246.4979977516</v>
      </c>
      <c r="C15" s="905">
        <f t="shared" ref="C15:Q15" ca="1" si="1">SUM(C4:C14)</f>
        <v>7527.1756756756758</v>
      </c>
      <c r="D15" s="905">
        <f t="shared" ca="1" si="1"/>
        <v>197956.96376943588</v>
      </c>
      <c r="E15" s="905">
        <f t="shared" si="1"/>
        <v>10633.083647905702</v>
      </c>
      <c r="F15" s="905">
        <f t="shared" ca="1" si="1"/>
        <v>93591.017127810599</v>
      </c>
      <c r="G15" s="905">
        <f t="shared" si="1"/>
        <v>165563.85334336656</v>
      </c>
      <c r="H15" s="905">
        <f t="shared" si="1"/>
        <v>35512.176577078615</v>
      </c>
      <c r="I15" s="905">
        <f t="shared" si="1"/>
        <v>0</v>
      </c>
      <c r="J15" s="905">
        <f t="shared" si="1"/>
        <v>1615.4482469754089</v>
      </c>
      <c r="K15" s="905">
        <f t="shared" si="1"/>
        <v>0</v>
      </c>
      <c r="L15" s="905">
        <f t="shared" ca="1" si="1"/>
        <v>0</v>
      </c>
      <c r="M15" s="905">
        <f t="shared" si="1"/>
        <v>10717.159552199404</v>
      </c>
      <c r="N15" s="905">
        <f t="shared" ca="1" si="1"/>
        <v>17225.93397077077</v>
      </c>
      <c r="O15" s="905">
        <f t="shared" si="1"/>
        <v>354.87666666666672</v>
      </c>
      <c r="P15" s="905">
        <f t="shared" si="1"/>
        <v>2898.1333333333332</v>
      </c>
      <c r="Q15" s="905">
        <f t="shared" ca="1" si="1"/>
        <v>744842.31990897027</v>
      </c>
    </row>
    <row r="17" spans="1:17">
      <c r="A17" s="451" t="s">
        <v>540</v>
      </c>
      <c r="B17" s="714">
        <f ca="1">huishoudens!B10</f>
        <v>0.18211467973822634</v>
      </c>
      <c r="C17" s="714">
        <f ca="1">huishoudens!C10</f>
        <v>0.23762572643642477</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7320.3041364333531</v>
      </c>
      <c r="C22" s="441">
        <f t="shared" ref="C22:C32" ca="1" si="3">C4*$C$17</f>
        <v>0</v>
      </c>
      <c r="D22" s="441">
        <f t="shared" ref="D22:D32" si="4">D4*$D$17</f>
        <v>20144.46816643951</v>
      </c>
      <c r="E22" s="441">
        <f t="shared" ref="E22:E32" si="5">E4*$E$17</f>
        <v>516.73034019161094</v>
      </c>
      <c r="F22" s="441">
        <f t="shared" ref="F22:F32" si="6">F4*$F$17</f>
        <v>14087.963606627656</v>
      </c>
      <c r="G22" s="441">
        <f t="shared" ref="G22:G32" si="7">G4*$G$17</f>
        <v>0</v>
      </c>
      <c r="H22" s="441">
        <f t="shared" ref="H22:H32" si="8">H4*$H$17</f>
        <v>0</v>
      </c>
      <c r="I22" s="441">
        <f t="shared" ref="I22:I32" si="9">I4*$I$17</f>
        <v>0</v>
      </c>
      <c r="J22" s="441">
        <f t="shared" ref="J22:J32" si="10">J4*$J$17</f>
        <v>95.990644540822473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42165.45689423295</v>
      </c>
    </row>
    <row r="23" spans="1:17">
      <c r="A23" s="440" t="s">
        <v>149</v>
      </c>
      <c r="B23" s="441">
        <f t="shared" ca="1" si="2"/>
        <v>6882.778959487202</v>
      </c>
      <c r="C23" s="441">
        <f t="shared" ca="1" si="3"/>
        <v>0</v>
      </c>
      <c r="D23" s="441">
        <f t="shared" ca="1" si="4"/>
        <v>7651.4198543311031</v>
      </c>
      <c r="E23" s="441">
        <f t="shared" si="5"/>
        <v>123.17916573694474</v>
      </c>
      <c r="F23" s="441">
        <f t="shared" ca="1" si="6"/>
        <v>2005.9384133681556</v>
      </c>
      <c r="G23" s="441">
        <f t="shared" si="7"/>
        <v>0</v>
      </c>
      <c r="H23" s="441">
        <f t="shared" si="8"/>
        <v>0</v>
      </c>
      <c r="I23" s="441">
        <f t="shared" si="9"/>
        <v>0</v>
      </c>
      <c r="J23" s="441">
        <f t="shared" si="10"/>
        <v>2.6521172623722909E-2</v>
      </c>
      <c r="K23" s="441">
        <f t="shared" si="11"/>
        <v>0</v>
      </c>
      <c r="L23" s="441">
        <f t="shared" ca="1" si="12"/>
        <v>0</v>
      </c>
      <c r="M23" s="441">
        <f t="shared" si="13"/>
        <v>0</v>
      </c>
      <c r="N23" s="441">
        <f t="shared" ca="1" si="14"/>
        <v>0</v>
      </c>
      <c r="O23" s="441">
        <f t="shared" si="15"/>
        <v>0</v>
      </c>
      <c r="P23" s="442">
        <f t="shared" si="16"/>
        <v>0</v>
      </c>
      <c r="Q23" s="440">
        <f t="shared" ref="Q23:Q32" ca="1" si="17">SUM(B23:P23)</f>
        <v>16663.342914096029</v>
      </c>
    </row>
    <row r="24" spans="1:17">
      <c r="A24" s="440" t="s">
        <v>187</v>
      </c>
      <c r="B24" s="441">
        <f t="shared" ca="1" si="2"/>
        <v>386.38142489045106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386.38142489045106</v>
      </c>
    </row>
    <row r="25" spans="1:17">
      <c r="A25" s="440" t="s">
        <v>105</v>
      </c>
      <c r="B25" s="441">
        <f t="shared" ca="1" si="2"/>
        <v>677.36054872842192</v>
      </c>
      <c r="C25" s="441">
        <f t="shared" ca="1" si="3"/>
        <v>1788.6505879470189</v>
      </c>
      <c r="D25" s="441">
        <f t="shared" si="4"/>
        <v>33.938560163931577</v>
      </c>
      <c r="E25" s="441">
        <f t="shared" si="5"/>
        <v>27.400563566561438</v>
      </c>
      <c r="F25" s="441">
        <f t="shared" si="6"/>
        <v>3663.6814425288876</v>
      </c>
      <c r="G25" s="441">
        <f t="shared" si="7"/>
        <v>0</v>
      </c>
      <c r="H25" s="441">
        <f t="shared" si="8"/>
        <v>0</v>
      </c>
      <c r="I25" s="441">
        <f t="shared" si="9"/>
        <v>0</v>
      </c>
      <c r="J25" s="441">
        <f t="shared" si="10"/>
        <v>346.27160662041598</v>
      </c>
      <c r="K25" s="441">
        <f t="shared" si="11"/>
        <v>0</v>
      </c>
      <c r="L25" s="441">
        <f t="shared" si="12"/>
        <v>0</v>
      </c>
      <c r="M25" s="441">
        <f t="shared" si="13"/>
        <v>0</v>
      </c>
      <c r="N25" s="441">
        <f t="shared" si="14"/>
        <v>0</v>
      </c>
      <c r="O25" s="441">
        <f t="shared" si="15"/>
        <v>0</v>
      </c>
      <c r="P25" s="442">
        <f t="shared" si="16"/>
        <v>0</v>
      </c>
      <c r="Q25" s="440">
        <f t="shared" ca="1" si="17"/>
        <v>6537.3033095552364</v>
      </c>
    </row>
    <row r="26" spans="1:17">
      <c r="A26" s="440" t="s">
        <v>596</v>
      </c>
      <c r="B26" s="441">
        <f t="shared" ca="1" si="2"/>
        <v>21147.28299156635</v>
      </c>
      <c r="C26" s="441">
        <f t="shared" ca="1" si="3"/>
        <v>0</v>
      </c>
      <c r="D26" s="441">
        <f t="shared" si="4"/>
        <v>11128.928915821925</v>
      </c>
      <c r="E26" s="441">
        <f t="shared" si="5"/>
        <v>1660.3893394157085</v>
      </c>
      <c r="F26" s="441">
        <f t="shared" si="6"/>
        <v>5231.218110600732</v>
      </c>
      <c r="G26" s="441">
        <f t="shared" si="7"/>
        <v>0</v>
      </c>
      <c r="H26" s="441">
        <f t="shared" si="8"/>
        <v>0</v>
      </c>
      <c r="I26" s="441">
        <f t="shared" si="9"/>
        <v>0</v>
      </c>
      <c r="J26" s="441">
        <f t="shared" si="10"/>
        <v>129.57990709543259</v>
      </c>
      <c r="K26" s="441">
        <f t="shared" si="11"/>
        <v>0</v>
      </c>
      <c r="L26" s="441">
        <f t="shared" si="12"/>
        <v>0</v>
      </c>
      <c r="M26" s="441">
        <f t="shared" si="13"/>
        <v>0</v>
      </c>
      <c r="N26" s="441">
        <f t="shared" si="14"/>
        <v>0</v>
      </c>
      <c r="O26" s="441">
        <f t="shared" si="15"/>
        <v>0</v>
      </c>
      <c r="P26" s="442">
        <f t="shared" si="16"/>
        <v>0</v>
      </c>
      <c r="Q26" s="440">
        <f t="shared" ca="1" si="17"/>
        <v>39297.399264500149</v>
      </c>
    </row>
    <row r="27" spans="1:17" s="446" customFormat="1">
      <c r="A27" s="444" t="s">
        <v>545</v>
      </c>
      <c r="B27" s="708">
        <f t="shared" ca="1" si="2"/>
        <v>23.268816634225853</v>
      </c>
      <c r="C27" s="445">
        <f t="shared" ca="1" si="3"/>
        <v>0</v>
      </c>
      <c r="D27" s="445">
        <f t="shared" si="4"/>
        <v>40.780995694745705</v>
      </c>
      <c r="E27" s="445">
        <f t="shared" si="5"/>
        <v>86.010579163768682</v>
      </c>
      <c r="F27" s="445">
        <f t="shared" si="6"/>
        <v>0</v>
      </c>
      <c r="G27" s="445">
        <f t="shared" si="7"/>
        <v>43737.187891276582</v>
      </c>
      <c r="H27" s="445">
        <f t="shared" si="8"/>
        <v>8842.5319676925756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52729.780250461903</v>
      </c>
    </row>
    <row r="28" spans="1:17">
      <c r="A28" s="440" t="s">
        <v>535</v>
      </c>
      <c r="B28" s="441">
        <f t="shared" ca="1" si="2"/>
        <v>3.4006619814296983</v>
      </c>
      <c r="C28" s="441">
        <f t="shared" ca="1" si="3"/>
        <v>0</v>
      </c>
      <c r="D28" s="441">
        <f t="shared" si="4"/>
        <v>0</v>
      </c>
      <c r="E28" s="441">
        <f t="shared" si="5"/>
        <v>0</v>
      </c>
      <c r="F28" s="441">
        <f t="shared" si="6"/>
        <v>0</v>
      </c>
      <c r="G28" s="441">
        <f t="shared" si="7"/>
        <v>468.36095140229696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471.76161338372668</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209.16399157871018</v>
      </c>
      <c r="C32" s="441">
        <f t="shared" ca="1" si="3"/>
        <v>0</v>
      </c>
      <c r="D32" s="441">
        <f t="shared" si="4"/>
        <v>987.77018897483902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1196.9341805535491</v>
      </c>
    </row>
    <row r="33" spans="1:17" s="450" customFormat="1">
      <c r="A33" s="957" t="s">
        <v>539</v>
      </c>
      <c r="B33" s="905">
        <f ca="1">SUM(B22:B32)</f>
        <v>36649.941531300145</v>
      </c>
      <c r="C33" s="905">
        <f t="shared" ref="C33:Q33" ca="1" si="18">SUM(C22:C32)</f>
        <v>1788.6505879470189</v>
      </c>
      <c r="D33" s="905">
        <f t="shared" ca="1" si="18"/>
        <v>39987.30668142606</v>
      </c>
      <c r="E33" s="905">
        <f t="shared" si="18"/>
        <v>2413.7099880745945</v>
      </c>
      <c r="F33" s="905">
        <f t="shared" ca="1" si="18"/>
        <v>24988.801573125435</v>
      </c>
      <c r="G33" s="905">
        <f t="shared" si="18"/>
        <v>44205.54884267888</v>
      </c>
      <c r="H33" s="905">
        <f t="shared" si="18"/>
        <v>8842.5319676925756</v>
      </c>
      <c r="I33" s="905">
        <f t="shared" si="18"/>
        <v>0</v>
      </c>
      <c r="J33" s="905">
        <f t="shared" si="18"/>
        <v>571.86867942929484</v>
      </c>
      <c r="K33" s="905">
        <f t="shared" si="18"/>
        <v>0</v>
      </c>
      <c r="L33" s="905">
        <f t="shared" ca="1" si="18"/>
        <v>0</v>
      </c>
      <c r="M33" s="905">
        <f t="shared" si="18"/>
        <v>0</v>
      </c>
      <c r="N33" s="905">
        <f t="shared" ca="1" si="18"/>
        <v>0</v>
      </c>
      <c r="O33" s="905">
        <f t="shared" si="18"/>
        <v>0</v>
      </c>
      <c r="P33" s="905">
        <f t="shared" si="18"/>
        <v>0</v>
      </c>
      <c r="Q33" s="905">
        <f t="shared" ca="1" si="18"/>
        <v>159448.35985167394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19635.908627902805</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14829.134262579024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5269</v>
      </c>
      <c r="D8" s="974">
        <f>'SEAP template'!D76</f>
        <v>6198.2670920471382</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1252.049952593522</v>
      </c>
    </row>
    <row r="9" spans="1:16">
      <c r="A9" s="977" t="s">
        <v>792</v>
      </c>
      <c r="B9" s="974">
        <f>'SEAP template'!B77</f>
        <v>1341</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3831.4285714285716</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35806.042890481825</v>
      </c>
      <c r="C10" s="978">
        <f>SUM(C4:C9)</f>
        <v>5269</v>
      </c>
      <c r="D10" s="978">
        <f t="shared" ref="D10:H10" si="0">SUM(D8:D9)</f>
        <v>6198.2670920471382</v>
      </c>
      <c r="E10" s="978">
        <f t="shared" si="0"/>
        <v>0</v>
      </c>
      <c r="F10" s="978">
        <f t="shared" si="0"/>
        <v>0</v>
      </c>
      <c r="G10" s="978">
        <f t="shared" si="0"/>
        <v>0</v>
      </c>
      <c r="H10" s="978">
        <f t="shared" si="0"/>
        <v>0</v>
      </c>
      <c r="I10" s="978">
        <f>SUM(I8:I9)</f>
        <v>0</v>
      </c>
      <c r="J10" s="978">
        <f>SUM(J8:J9)</f>
        <v>3831.4285714285716</v>
      </c>
      <c r="K10" s="978">
        <f t="shared" ref="K10:L10" si="1">SUM(K8:K9)</f>
        <v>0</v>
      </c>
      <c r="L10" s="978">
        <f t="shared" si="1"/>
        <v>0</v>
      </c>
      <c r="M10" s="978">
        <f>SUM(M8:M9)</f>
        <v>0</v>
      </c>
      <c r="N10" s="978">
        <f>SUM(N8:N9)</f>
        <v>0</v>
      </c>
      <c r="O10" s="978">
        <f>SUM(O8:O9)</f>
        <v>0</v>
      </c>
      <c r="P10" s="978">
        <f>SUM(P8:P9)</f>
        <v>1252.049952593522</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0.18211467973822634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7527.1756756756758</v>
      </c>
      <c r="D17" s="975">
        <f>'SEAP template'!D87</f>
        <v>8854.705880925836</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1788.6505879470189</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7527.1756756756758</v>
      </c>
      <c r="D20" s="978">
        <f t="shared" ref="D20:H20" si="2">SUM(D17:D19)</f>
        <v>8854.705880925836</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1788.6505879470189</v>
      </c>
    </row>
    <row r="22" spans="1:16">
      <c r="A22" s="451" t="s">
        <v>800</v>
      </c>
      <c r="B22" s="714" t="s">
        <v>794</v>
      </c>
      <c r="C22" s="714">
        <f ca="1">'EF ele_warmte'!B22</f>
        <v>0.23762572643642477</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0.18211467973822634</v>
      </c>
      <c r="C17" s="488">
        <f ca="1">'EF ele_warmte'!B22</f>
        <v>0.23762572643642477</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3</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4.6900000000000004</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1</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19.066666666666666</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2022-07-26T10:34:53Z</dcterms:modified>
</cp:coreProperties>
</file>