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9C11EA77-F350-4E9C-A6C6-E1A14C13A48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<sst xmlns="http://schemas.openxmlformats.org/spreadsheetml/2006/main" count="2407" uniqueCount="884">
  <si>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</si>
  <si>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</si>
  <si>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</si>
  <si>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</si>
  <si>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</si>
  <si>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</si>
  <si>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</si>
  <si>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</si>
  <si>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</si>
  <si>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</si>
  <si>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</si>
  <si>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</si>
  <si>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</si>
  <si>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</si>
  <si>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</si>
  <si>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</si>
  <si>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</si>
  <si>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</si>
  <si>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</si>
  <si>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</si>
  <si>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</si>
  <si>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</si>
  <si>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</si>
  <si>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</si>
  <si>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</si>
  <si>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</si>
  <si>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</si>
  <si>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</si>
  <si>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</si>
  <si>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</si>
  <si>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</si>
  <si>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</si>
  <si>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</si>
  <si>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</si>
  <si>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</si>
  <si>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</si>
  <si>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</si>
  <si>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</si>
  <si>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</si>
  <si>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</si>
  <si>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</si>
  <si>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</si>
  <si>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</si>
  <si>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</si>
  <si>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</si>
  <si>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</si>
  <si>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</si>
  <si>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</si>
  <si>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</si>
  <si>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</si>
  <si>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</si>
  <si>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</si>
  <si>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</si>
  <si>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</si>
  <si>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</si>
  <si>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</si>
  <si>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</si>
  <si>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</si>
  <si>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</si>
  <si>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</si>
  <si>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</si>
  <si>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</si>
  <si>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</si>
  <si>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</si>
  <si>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</si>
  <si>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</si>
  <si>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</si>
  <si>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</si>
  <si>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</si>
  <si>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</si>
  <si>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</si>
  <si>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</si>
  <si>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</si>
  <si>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</si>
  <si>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</si>
  <si>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</si>
  <si>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</si>
  <si>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</si>
  <si>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</si>
  <si>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</si>
  <si>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</si>
  <si>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</si>
  <si>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</si>
  <si>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</si>
  <si>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</si>
  <si>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</si>
  <si>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</si>
  <si>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</si>
  <si>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</si>
  <si>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</si>
  <si>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</si>
  <si>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</si>
  <si>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</si>
  <si>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</si>
  <si>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</si>
  <si>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</si>
  <si>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</si>
  <si>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</si>
  <si>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</si>
  <si>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</si>
  <si>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</si>
  <si>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</si>
  <si>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</si>
  <si>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</si>
  <si>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</si>
  <si>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</si>
  <si>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</si>
  <si>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</si>
  <si>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</si>
  <si>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</si>
  <si>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</si>
  <si>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</si>
  <si>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</si>
  <si>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</si>
  <si>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</si>
  <si>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</si>
  <si>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</si>
  <si>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</si>
  <si>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</si>
  <si>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</si>
  <si>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</si>
  <si>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</si>
  <si>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</si>
  <si>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</si>
  <si>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</si>
  <si>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</si>
  <si>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</si>
  <si>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</si>
  <si>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</si>
  <si>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</si>
  <si>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</si>
  <si>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</si>
  <si>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</si>
  <si>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</si>
  <si>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</si>
  <si>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</si>
  <si>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</si>
  <si>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</si>
  <si>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</si>
  <si>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</si>
  <si>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</si>
  <si>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</si>
  <si>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</si>
  <si>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</si>
  <si>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</si>
  <si>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</si>
  <si>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</si>
  <si>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</si>
  <si>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</si>
  <si>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</si>
  <si>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</si>
  <si>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</si>
  <si>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</si>
  <si>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</si>
  <si>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</si>
  <si>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</si>
  <si>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</si>
  <si>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</si>
  <si>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</si>
  <si>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</si>
  <si>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</si>
  <si>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</si>
  <si>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</si>
  <si>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</si>
  <si>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</si>
  <si>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</si>
  <si>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</si>
  <si>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</si>
  <si>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</si>
  <si>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</si>
  <si>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</si>
  <si>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</si>
  <si>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</si>
  <si>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</si>
  <si>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</si>
  <si>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</si>
  <si>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</si>
  <si>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</si>
  <si>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</si>
  <si>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</si>
  <si>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</si>
  <si>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</si>
  <si>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</si>
  <si>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</si>
  <si>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</si>
  <si>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</si>
  <si>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</si>
  <si>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</si>
  <si>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</si>
  <si>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</si>
  <si>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</si>
  <si>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</si>
  <si>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</si>
  <si>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</si>
  <si>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</si>
  <si>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</si>
  <si>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</si>
  <si>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</si>
  <si>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</si>
  <si>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</si>
  <si>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</si>
  <si>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</si>
  <si>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</si>
  <si>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</si>
  <si>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</si>
  <si>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</si>
  <si>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</si>
  <si>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</si>
  <si>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</si>
  <si>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</si>
  <si>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</si>
  <si>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</si>
  <si>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</si>
  <si>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</si>
  <si>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</si>
  <si>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</si>
  <si>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</si>
  <si>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</si>
  <si>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</si>
  <si>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</si>
  <si>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</si>
  <si>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</si>
  <si>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</si>
  <si>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</si>
  <si>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</si>
  <si>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</si>
  <si>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</si>
  <si>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</si>
  <si>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</si>
  <si>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</si>
  <si>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</si>
  <si>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</si>
  <si>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</si>
  <si>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</si>
  <si>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</si>
  <si>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</si>
  <si>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</si>
  <si>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</si>
  <si>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</si>
  <si>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</si>
  <si>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</si>
  <si>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</si>
  <si>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</si>
  <si>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</si>
  <si>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</si>
  <si>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</si>
  <si>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</si>
  <si>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</si>
  <si>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</si>
  <si>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</si>
  <si>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</si>
  <si>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</si>
  <si>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</si>
  <si>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</si>
  <si>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</si>
  <si>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</si>
  <si>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</si>
  <si>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</si>
  <si>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</si>
  <si>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</si>
  <si>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</si>
  <si>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</si>
  <si>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</si>
  <si>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</si>
  <si>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</si>
  <si>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</si>
  <si>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</si>
  <si>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</si>
  <si>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</si>
  <si>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</si>
  <si>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</si>
  <si>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</si>
  <si>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</si>
  <si>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</si>
  <si>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</si>
  <si>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</si>
  <si>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</si>
  <si>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</si>
  <si>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</si>
  <si>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</si>
  <si>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</si>
  <si>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</si>
  <si>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</si>
  <si>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</si>
  <si>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</si>
  <si>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</si>
  <si>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</si>
  <si>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</si>
  <si>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</si>
  <si>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</si>
  <si>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</si>
  <si>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</si>
  <si>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</si>
  <si>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</si>
  <si>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</si>
  <si>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</si>
  <si>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</si>
  <si>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</si>
  <si>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</si>
  <si>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</si>
  <si>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</si>
  <si>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</si>
  <si>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</si>
  <si>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</si>
  <si>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</si>
  <si>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</si>
  <si>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</si>
  <si>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</si>
  <si>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</si>
  <si>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</si>
  <si>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</si>
  <si>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</si>
  <si>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</si>
  <si>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</si>
  <si>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</si>
  <si>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</si>
  <si>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</si>
  <si>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</si>
  <si>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</si>
  <si>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</si>
  <si>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</si>
  <si>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</si>
  <si>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</si>
  <si>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</si>
  <si>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</si>
  <si>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</si>
  <si>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</si>
  <si>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</si>
  <si>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</si>
  <si>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</si>
  <si>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</si>
  <si>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</si>
  <si>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</si>
  <si>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</si>
  <si>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</si>
  <si>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</si>
  <si>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</si>
  <si>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</si>
  <si>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</si>
  <si>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</si>
  <si>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</si>
  <si>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</si>
  <si>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</si>
  <si>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</si>
  <si>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</si>
  <si>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</si>
  <si>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</si>
  <si>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</si>
  <si>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</si>
  <si>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</si>
  <si>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</si>
  <si>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</si>
  <si>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</si>
  <si>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</si>
  <si>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</si>
  <si>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</si>
  <si>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</si>
  <si>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</si>
  <si>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</si>
  <si>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</si>
  <si>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</si>
  <si>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</si>
  <si>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</si>
  <si>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</si>
  <si>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</si>
  <si>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</si>
  <si>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</si>
  <si>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</si>
  <si>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</si>
  <si>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</si>
  <si>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</si>
  <si>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</si>
  <si>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</si>
  <si>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</si>
  <si>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</si>
  <si>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</si>
  <si>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</si>
  <si>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</si>
  <si>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</si>
  <si>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</si>
  <si>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</si>
  <si>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</si>
  <si>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</si>
  <si>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</si>
  <si>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</si>
  <si>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</si>
  <si>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</si>
  <si>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</si>
  <si>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</si>
  <si>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</si>
  <si>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</si>
  <si>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</si>
  <si>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</si>
  <si>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</si>
  <si>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</si>
  <si>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</si>
  <si>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</si>
  <si>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</si>
  <si>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</si>
  <si>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</si>
  <si>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</si>
  <si>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</si>
  <si>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</si>
  <si>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</si>
  <si>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</si>
  <si>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</si>
  <si>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</si>
  <si>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</si>
  <si>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</si>
  <si>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</si>
  <si>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</si>
  <si>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</si>
  <si>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</si>
  <si>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</si>
  <si>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</si>
  <si>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</si>
  <si>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</si>
  <si>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</si>
  <si>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</si>
  <si>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</si>
  <si>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</si>
  <si>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</si>
  <si>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</si>
  <si>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</si>
  <si>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</si>
  <si>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</si>
  <si>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</si>
  <si>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</si>
  <si>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</si>
  <si>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</si>
  <si>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</si>
  <si>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</si>
  <si>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</si>
  <si>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</si>
  <si>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</si>
  <si>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</si>
  <si>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</si>
  <si>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</si>
  <si>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</si>
  <si>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</si>
  <si>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</si>
  <si>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</si>
  <si>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</si>
  <si>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</si>
  <si>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</si>
  <si>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</si>
  <si>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</si>
  <si>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</si>
  <si>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</si>
  <si>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</si>
  <si>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</si>
  <si>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</si>
  <si>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</si>
  <si>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</si>
  <si>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</si>
  <si>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</si>
  <si>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</si>
  <si>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</si>
  <si>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</si>
  <si>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</si>
  <si>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</si>
  <si>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</si>
  <si>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</si>
  <si>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</si>
  <si>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</si>
  <si>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</si>
  <si>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</si>
  <si>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</si>
  <si>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</si>
  <si>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</si>
  <si>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</si>
  <si>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</si>
  <si>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</si>
  <si>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</si>
  <si>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</si>
  <si>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</si>
  <si>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</si>
  <si>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</si>
  <si>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</si>
  <si>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</si>
  <si>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</si>
  <si>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</si>
  <si>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</si>
  <si>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</si>
  <si>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</si>
  <si>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</si>
  <si>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</si>
  <si>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</si>
  <si>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</si>
  <si>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</si>
  <si>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</si>
  <si>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</si>
  <si>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</si>
  <si>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</si>
  <si>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</si>
  <si>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</si>
  <si>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</si>
  <si>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</si>
  <si>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</si>
  <si>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</si>
  <si>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</si>
  <si>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</si>
  <si>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</si>
  <si>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</si>
  <si>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</si>
  <si>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</si>
  <si>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</si>
  <si>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</si>
  <si>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</si>
  <si>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</si>
  <si>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</si>
  <si>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</si>
  <si>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</si>
  <si>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</si>
  <si>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</si>
  <si>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</si>
  <si>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</si>
  <si>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</si>
  <si>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</si>
  <si>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</si>
  <si>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</si>
  <si>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</si>
  <si>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</si>
  <si>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</si>
  <si>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</si>
  <si>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</si>
  <si>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</si>
  <si>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</si>
  <si>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</si>
  <si>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</si>
  <si>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</si>
  <si>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</si>
  <si>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</si>
  <si>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</si>
  <si>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</si>
  <si>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</si>
  <si>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</si>
  <si>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</si>
  <si>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</si>
  <si>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</si>
  <si>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</si>
  <si>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</si>
  <si>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</si>
  <si>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</si>
  <si>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</si>
  <si>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</si>
  <si>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</si>
  <si>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</si>
  <si>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</si>
  <si>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</si>
  <si>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</si>
  <si>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</si>
  <si>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</si>
  <si>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</si>
  <si>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</si>
  <si>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</si>
  <si>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</si>
  <si>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</si>
  <si>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</si>
  <si>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</si>
  <si>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</si>
  <si>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</si>
  <si>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</si>
  <si>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</si>
  <si>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</si>
  <si>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</si>
  <si>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</si>
  <si>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</si>
  <si>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</si>
  <si>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</si>
  <si>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</si>
  <si>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</si>
  <si>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</si>
  <si>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</si>
  <si>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</si>
  <si>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</si>
  <si>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</si>
  <si>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</si>
  <si>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</si>
  <si>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</si>
  <si>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</si>
  <si>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</si>
  <si>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</si>
  <si>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</si>
  <si>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</si>
  <si>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</si>
  <si>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</si>
  <si>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</si>
  <si>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</si>
  <si>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</si>
  <si>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</si>
  <si>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</si>
  <si>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</si>
  <si>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</si>
  <si>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</si>
  <si>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</si>
  <si>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</si>
  <si>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</si>
  <si>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</si>
  <si>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</si>
  <si>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</si>
  <si>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</si>
  <si>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</si>
  <si>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</si>
  <si>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</si>
  <si>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</si>
  <si>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</si>
  <si>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</si>
  <si>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</si>
  <si>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</si>
  <si>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</si>
  <si>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</si>
  <si>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</si>
  <si>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</si>
  <si>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</si>
  <si>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</si>
  <si>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</si>
  <si>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</si>
  <si>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</si>
  <si>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</si>
  <si>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</si>
  <si>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</si>
  <si>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</si>
  <si>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</si>
  <si>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</si>
  <si>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</si>
  <si>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</si>
  <si>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</si>
  <si>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</si>
  <si>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</si>
  <si>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</si>
  <si>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</si>
  <si>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</si>
  <si>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</si>
  <si>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</si>
  <si>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</si>
  <si>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</si>
  <si>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</si>
  <si>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</si>
  <si>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</si>
  <si>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</si>
  <si>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</si>
  <si>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</si>
  <si>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</si>
  <si>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</si>
  <si>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</si>
  <si>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</si>
  <si>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</si>
  <si>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</si>
  <si>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</si>
  <si>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</si>
  <si>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</si>
  <si>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</si>
  <si>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</si>
  <si>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</si>
  <si>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</si>
  <si>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</si>
  <si>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</si>
  <si>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</si>
  <si>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</si>
  <si>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</si>
  <si>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</si>
  <si>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</si>
  <si>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</si>
  <si>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</si>
  <si>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</si>
  <si>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</si>
  <si>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</si>
  <si>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</si>
  <si>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</si>
  <si>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</si>
  <si>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</si>
  <si>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</si>
  <si>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</si>
  <si>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</si>
  <si>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</si>
  <si>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</si>
  <si>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</si>
  <si>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</si>
  <si>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</si>
  <si>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</si>
  <si>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</si>
  <si>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</si>
  <si>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</si>
  <si>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</si>
  <si>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</si>
  <si>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</si>
  <si>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</si>
  <si>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</si>
  <si>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</si>
  <si>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</si>
  <si>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</si>
  <si>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</si>
  <si>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</si>
  <si>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</si>
  <si>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</si>
  <si>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</si>
  <si>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</si>
  <si>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</si>
  <si>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</si>
  <si>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</si>
  <si>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</si>
  <si>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</si>
  <si>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</si>
  <si>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</si>
  <si>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</si>
  <si>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</si>
  <si>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</si>
  <si>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</si>
  <si>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</si>
  <si>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</si>
  <si>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</si>
  <si>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</si>
  <si>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</si>
  <si>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</si>
  <si>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</si>
  <si>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</si>
  <si>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</si>
  <si>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</si>
  <si>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</si>
  <si>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</si>
  <si>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</si>
  <si>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</si>
  <si>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</si>
  <si>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</si>
  <si>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</si>
  <si>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</si>
  <si>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</si>
  <si>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</si>
  <si>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</si>
  <si>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</si>
  <si>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</si>
  <si>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</si>
  <si>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</si>
  <si>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</si>
  <si>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</si>
  <si>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</si>
  <si>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</si>
  <si>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</si>
  <si>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</si>
  <si>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</si>
  <si>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</si>
  <si>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</si>
  <si>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</si>
  <si>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</si>
  <si>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</si>
  <si>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</si>
  <si>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</si>
  <si>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</si>
  <si>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</si>
  <si>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</si>
  <si>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</si>
  <si>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</si>
  <si>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</si>
  <si>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</si>
  <si>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</si>
  <si>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</si>
  <si>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</si>
  <si>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</si>
  <si>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</si>
  <si>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</si>
  <si>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</si>
  <si>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</si>
  <si>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</si>
  <si>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</si>
  <si>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</si>
  <si>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</si>
  <si>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</si>
  <si>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</si>
  <si>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</si>
  <si>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</si>
  <si>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</si>
  <si>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</si>
  <si>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</si>
  <si>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</si>
  <si>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</si>
  <si>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</si>
  <si>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</si>
  <si>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</si>
  <si>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</si>
  <si>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</si>
  <si>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</si>
  <si>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</si>
  <si>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</si>
  <si>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</si>
  <si>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</si>
  <si>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</si>
  <si>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</si>
  <si>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</si>
  <si>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</si>
  <si>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</si>
  <si>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</si>
  <si>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</si>
  <si>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</si>
  <si>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</si>
  <si>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</si>
  <si>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</si>
  <si>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</si>
  <si>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</si>
  <si>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</si>
  <si>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</si>
  <si>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</si>
  <si>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</si>
  <si>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</si>
  <si>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</si>
  <si>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</si>
  <si>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</si>
  <si>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</si>
  <si>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</si>
  <si>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</si>
  <si>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</si>
  <si>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</si>
  <si>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</si>
  <si>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</si>
  <si>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</si>
  <si>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</si>
  <si>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</si>
  <si>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</si>
  <si>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</si>
  <si>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</si>
  <si>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</si>
  <si>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</si>
  <si>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</si>
  <si>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</si>
  <si>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</si>
  <si>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</si>
  <si>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</si>
  <si>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</si>
  <si>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</si>
  <si>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</si>
  <si>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</si>
  <si>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</si>
  <si>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</si>
  <si>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</si>
  <si>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</si>
  <si>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</si>
  <si>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</si>
  <si>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</si>
  <si>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</si>
  <si>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</si>
  <si>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</si>
  <si>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</si>
  <si>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</si>
  <si>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</si>
  <si>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</si>
  <si>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</si>
  <si>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</si>
  <si>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</si>
  <si>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</si>
  <si>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</si>
  <si>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</si>
  <si>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</si>
  <si>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</si>
  <si>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</si>
  <si>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</si>
  <si>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</si>
  <si>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</si>
  <si>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</si>
  <si>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</si>
  <si>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</si>
  <si>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</si>
  <si>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</si>
  <si>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</si>
  <si>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</si>
  <si>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</si>
  <si>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</si>
  <si>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</si>
  <si>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</si>
  <si>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</si>
  <si>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</si>
  <si>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</si>
  <si>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</si>
  <si>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</si>
  <si>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</si>
  <si>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</si>
  <si>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11057</t>
  </si>
  <si>
    <t>MALLE</t>
  </si>
  <si>
    <t>vloeibaar gas (MWh)</t>
  </si>
  <si>
    <t>interne verbrandingsmotor</t>
  </si>
  <si>
    <t>WKK interne verbrandinsgmotor (gas)</t>
  </si>
  <si>
    <t>IVEKA</t>
  </si>
  <si>
    <t>biogas - hoofdzakelijk agrarische stromen</t>
  </si>
  <si>
    <t>niet WKK interne verbrandingsmotor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</si>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</sst>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60DDD76E-0D48-447B-A157-BB8A1892E66A}"/>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135311.69399740701</c:v>
                </c:pt>
                <c:pt idx="1">
                  <c:v>103480.65730305895</c:v>
                </c:pt>
                <c:pt idx="2">
                  <c:v>552.59100000000001</c:v>
                </c:pt>
                <c:pt idx="3">
                  <c:v>14626.633943081601</c:v>
                </c:pt>
                <c:pt idx="4">
                  <c:v>99556.691900664213</c:v>
                </c:pt>
                <c:pt idx="5">
                  <c:v>96282.265631987975</c:v>
                </c:pt>
                <c:pt idx="6">
                  <c:v>2856.4036490912563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135311.69399740701</c:v>
                </c:pt>
                <c:pt idx="1">
                  <c:v>103480.65730305895</c:v>
                </c:pt>
                <c:pt idx="2">
                  <c:v>552.59100000000001</c:v>
                </c:pt>
                <c:pt idx="3">
                  <c:v>14626.633943081601</c:v>
                </c:pt>
                <c:pt idx="4">
                  <c:v>99556.691900664213</c:v>
                </c:pt>
                <c:pt idx="5">
                  <c:v>96282.265631987975</c:v>
                </c:pt>
                <c:pt idx="6">
                  <c:v>2856.4036490912563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25309.282833841815</c:v>
                </c:pt>
                <c:pt idx="2">
                  <c:v>14218.613096320851</c:v>
                </c:pt>
                <c:pt idx="3">
                  <c:v>76.606871362785185</c:v>
                </c:pt>
                <c:pt idx="4">
                  <c:v>3375.239308758009</c:v>
                </c:pt>
                <c:pt idx="5">
                  <c:v>17780.942128526589</c:v>
                </c:pt>
                <c:pt idx="6">
                  <c:v>24097.311202204</c:v>
                </c:pt>
                <c:pt idx="7">
                  <c:v>717.8918583220011</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25309.282833841815</c:v>
                </c:pt>
                <c:pt idx="2">
                  <c:v>14218.613096320851</c:v>
                </c:pt>
                <c:pt idx="3">
                  <c:v>76.606871362785185</c:v>
                </c:pt>
                <c:pt idx="4">
                  <c:v>3375.239308758009</c:v>
                </c:pt>
                <c:pt idx="5">
                  <c:v>17780.942128526589</c:v>
                </c:pt>
                <c:pt idx="6">
                  <c:v>24097.311202204</c:v>
                </c:pt>
                <c:pt idx="7">
                  <c:v>717.8918583220011</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11057</v>
      </c>
      <c r="B6" s="380"/>
      <c r="C6" s="381"/>
    </row>
    <row r="7" spans="1:7" s="378" customFormat="1" ht="15.75" customHeight="1">
      <c r="A7" s="382" t="str">
        <f>txtMunicipality</f>
        <v>MALLE</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0.13863213726388085</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0.13863213726388085</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5986</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2365.9899999999998</v>
      </c>
      <c r="C14" s="322"/>
      <c r="D14" s="322"/>
      <c r="E14" s="322"/>
      <c r="F14" s="322"/>
    </row>
    <row r="15" spans="1:6">
      <c r="A15" s="1248" t="s">
        <v>177</v>
      </c>
      <c r="B15" s="1249">
        <v>780</v>
      </c>
      <c r="C15" s="322"/>
      <c r="D15" s="322"/>
      <c r="E15" s="322"/>
      <c r="F15" s="322"/>
    </row>
    <row r="16" spans="1:6">
      <c r="A16" s="1248" t="s">
        <v>6</v>
      </c>
      <c r="B16" s="1249">
        <v>2187</v>
      </c>
      <c r="C16" s="322"/>
      <c r="D16" s="322"/>
      <c r="E16" s="322"/>
      <c r="F16" s="322"/>
    </row>
    <row r="17" spans="1:6">
      <c r="A17" s="1248" t="s">
        <v>7</v>
      </c>
      <c r="B17" s="1249">
        <v>541</v>
      </c>
      <c r="C17" s="322"/>
      <c r="D17" s="322"/>
      <c r="E17" s="322"/>
      <c r="F17" s="322"/>
    </row>
    <row r="18" spans="1:6">
      <c r="A18" s="1248" t="s">
        <v>8</v>
      </c>
      <c r="B18" s="1249">
        <v>1573</v>
      </c>
      <c r="C18" s="322"/>
      <c r="D18" s="322"/>
      <c r="E18" s="322"/>
      <c r="F18" s="322"/>
    </row>
    <row r="19" spans="1:6">
      <c r="A19" s="1248" t="s">
        <v>9</v>
      </c>
      <c r="B19" s="1249">
        <v>1396</v>
      </c>
      <c r="C19" s="322"/>
      <c r="D19" s="322"/>
      <c r="E19" s="322"/>
      <c r="F19" s="322"/>
    </row>
    <row r="20" spans="1:6">
      <c r="A20" s="1248" t="s">
        <v>10</v>
      </c>
      <c r="B20" s="1249">
        <v>948</v>
      </c>
      <c r="C20" s="322"/>
      <c r="D20" s="322"/>
      <c r="E20" s="322"/>
      <c r="F20" s="322"/>
    </row>
    <row r="21" spans="1:6">
      <c r="A21" s="1248" t="s">
        <v>11</v>
      </c>
      <c r="B21" s="1249">
        <v>1019</v>
      </c>
      <c r="C21" s="322"/>
      <c r="D21" s="322"/>
      <c r="E21" s="322"/>
      <c r="F21" s="322"/>
    </row>
    <row r="22" spans="1:6">
      <c r="A22" s="1248" t="s">
        <v>12</v>
      </c>
      <c r="B22" s="1249">
        <v>7822</v>
      </c>
      <c r="C22" s="322"/>
      <c r="D22" s="322"/>
      <c r="E22" s="322"/>
      <c r="F22" s="322"/>
    </row>
    <row r="23" spans="1:6">
      <c r="A23" s="1248" t="s">
        <v>13</v>
      </c>
      <c r="B23" s="1249">
        <v>115</v>
      </c>
      <c r="C23" s="322"/>
      <c r="D23" s="322"/>
      <c r="E23" s="322"/>
      <c r="F23" s="322"/>
    </row>
    <row r="24" spans="1:6">
      <c r="A24" s="1248" t="s">
        <v>14</v>
      </c>
      <c r="B24" s="1249">
        <v>4</v>
      </c>
      <c r="C24" s="322"/>
      <c r="D24" s="322"/>
      <c r="E24" s="322"/>
      <c r="F24" s="322"/>
    </row>
    <row r="25" spans="1:6">
      <c r="A25" s="1248" t="s">
        <v>15</v>
      </c>
      <c r="B25" s="1249">
        <v>491</v>
      </c>
      <c r="C25" s="322"/>
      <c r="D25" s="322"/>
      <c r="E25" s="322"/>
      <c r="F25" s="322"/>
    </row>
    <row r="26" spans="1:6">
      <c r="A26" s="1248" t="s">
        <v>16</v>
      </c>
      <c r="B26" s="1249">
        <v>275</v>
      </c>
      <c r="C26" s="322"/>
      <c r="D26" s="322"/>
      <c r="E26" s="322"/>
      <c r="F26" s="322"/>
    </row>
    <row r="27" spans="1:6">
      <c r="A27" s="1248" t="s">
        <v>17</v>
      </c>
      <c r="B27" s="1249">
        <v>0</v>
      </c>
      <c r="C27" s="322"/>
      <c r="D27" s="322"/>
      <c r="E27" s="322"/>
      <c r="F27" s="322"/>
    </row>
    <row r="28" spans="1:6">
      <c r="A28" s="1248" t="s">
        <v>18</v>
      </c>
      <c r="B28" s="1250">
        <v>112902</v>
      </c>
      <c r="C28" s="322"/>
      <c r="D28" s="322"/>
      <c r="E28" s="322"/>
      <c r="F28" s="322"/>
    </row>
    <row r="29" spans="1:6">
      <c r="A29" s="1248" t="s">
        <v>691</v>
      </c>
      <c r="B29" s="1250">
        <v>212</v>
      </c>
      <c r="C29" s="322"/>
      <c r="D29" s="322"/>
      <c r="E29" s="322"/>
      <c r="F29" s="322"/>
    </row>
    <row r="30" spans="1:6">
      <c r="A30" s="1243" t="s">
        <v>692</v>
      </c>
      <c r="B30" s="1251">
        <v>52</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3</v>
      </c>
      <c r="F36" s="1249">
        <v>12584.6859600728</v>
      </c>
    </row>
    <row r="37" spans="1:6">
      <c r="A37" s="1248" t="s">
        <v>24</v>
      </c>
      <c r="B37" s="1248" t="s">
        <v>27</v>
      </c>
      <c r="C37" s="1249">
        <v>0</v>
      </c>
      <c r="D37" s="1249">
        <v>0</v>
      </c>
      <c r="E37" s="1249">
        <v>0</v>
      </c>
      <c r="F37" s="1249">
        <v>0</v>
      </c>
    </row>
    <row r="38" spans="1:6">
      <c r="A38" s="1248" t="s">
        <v>24</v>
      </c>
      <c r="B38" s="1248" t="s">
        <v>28</v>
      </c>
      <c r="C38" s="1249">
        <v>1</v>
      </c>
      <c r="D38" s="1249">
        <v>82584.579654855203</v>
      </c>
      <c r="E38" s="1249">
        <v>3</v>
      </c>
      <c r="F38" s="1249">
        <v>164254.60239956999</v>
      </c>
    </row>
    <row r="39" spans="1:6">
      <c r="A39" s="1248" t="s">
        <v>29</v>
      </c>
      <c r="B39" s="1248" t="s">
        <v>30</v>
      </c>
      <c r="C39" s="1249">
        <v>4461</v>
      </c>
      <c r="D39" s="1249">
        <v>82345961.983646899</v>
      </c>
      <c r="E39" s="1249">
        <v>5817</v>
      </c>
      <c r="F39" s="1249">
        <v>23819394.106065199</v>
      </c>
    </row>
    <row r="40" spans="1:6">
      <c r="A40" s="1248" t="s">
        <v>29</v>
      </c>
      <c r="B40" s="1248" t="s">
        <v>28</v>
      </c>
      <c r="C40" s="1249">
        <v>1</v>
      </c>
      <c r="D40" s="1249">
        <v>83187.889501899597</v>
      </c>
      <c r="E40" s="1249">
        <v>1</v>
      </c>
      <c r="F40" s="1249">
        <v>9069.8909577858994</v>
      </c>
    </row>
    <row r="41" spans="1:6">
      <c r="A41" s="1248" t="s">
        <v>31</v>
      </c>
      <c r="B41" s="1248" t="s">
        <v>32</v>
      </c>
      <c r="C41" s="1249">
        <v>60</v>
      </c>
      <c r="D41" s="1249">
        <v>2124537.1024164301</v>
      </c>
      <c r="E41" s="1249">
        <v>201</v>
      </c>
      <c r="F41" s="1249">
        <v>7429200.3615898201</v>
      </c>
    </row>
    <row r="42" spans="1:6">
      <c r="A42" s="1248" t="s">
        <v>31</v>
      </c>
      <c r="B42" s="1248" t="s">
        <v>33</v>
      </c>
      <c r="C42" s="1249">
        <v>0</v>
      </c>
      <c r="D42" s="1249">
        <v>0</v>
      </c>
      <c r="E42" s="1249">
        <v>4</v>
      </c>
      <c r="F42" s="1249">
        <v>1046774.5696207799</v>
      </c>
    </row>
    <row r="43" spans="1:6">
      <c r="A43" s="1248" t="s">
        <v>31</v>
      </c>
      <c r="B43" s="1248" t="s">
        <v>34</v>
      </c>
      <c r="C43" s="1249">
        <v>0</v>
      </c>
      <c r="D43" s="1249">
        <v>0</v>
      </c>
      <c r="E43" s="1249">
        <v>0</v>
      </c>
      <c r="F43" s="1249">
        <v>0</v>
      </c>
    </row>
    <row r="44" spans="1:6">
      <c r="A44" s="1248" t="s">
        <v>31</v>
      </c>
      <c r="B44" s="1248" t="s">
        <v>35</v>
      </c>
      <c r="C44" s="1249">
        <v>0</v>
      </c>
      <c r="D44" s="1249">
        <v>0</v>
      </c>
      <c r="E44" s="1249">
        <v>23</v>
      </c>
      <c r="F44" s="1249">
        <v>6926635.7592774304</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4</v>
      </c>
      <c r="D47" s="1249">
        <v>100980.19021007601</v>
      </c>
      <c r="E47" s="1249">
        <v>4</v>
      </c>
      <c r="F47" s="1249">
        <v>49657.439931486799</v>
      </c>
    </row>
    <row r="48" spans="1:6">
      <c r="A48" s="1248" t="s">
        <v>31</v>
      </c>
      <c r="B48" s="1248" t="s">
        <v>28</v>
      </c>
      <c r="C48" s="1249">
        <v>43</v>
      </c>
      <c r="D48" s="1249">
        <v>45180878.850747399</v>
      </c>
      <c r="E48" s="1249">
        <v>48</v>
      </c>
      <c r="F48" s="1249">
        <v>15838087.3308175</v>
      </c>
    </row>
    <row r="49" spans="1:6">
      <c r="A49" s="1248" t="s">
        <v>31</v>
      </c>
      <c r="B49" s="1248" t="s">
        <v>39</v>
      </c>
      <c r="C49" s="1249">
        <v>0</v>
      </c>
      <c r="D49" s="1249">
        <v>0</v>
      </c>
      <c r="E49" s="1249">
        <v>0</v>
      </c>
      <c r="F49" s="1249">
        <v>0</v>
      </c>
    </row>
    <row r="50" spans="1:6">
      <c r="A50" s="1248" t="s">
        <v>31</v>
      </c>
      <c r="B50" s="1248" t="s">
        <v>40</v>
      </c>
      <c r="C50" s="1249">
        <v>18</v>
      </c>
      <c r="D50" s="1249">
        <v>2678750.4615319599</v>
      </c>
      <c r="E50" s="1249">
        <v>17</v>
      </c>
      <c r="F50" s="1249">
        <v>11594889.6188289</v>
      </c>
    </row>
    <row r="51" spans="1:6">
      <c r="A51" s="1248" t="s">
        <v>41</v>
      </c>
      <c r="B51" s="1248" t="s">
        <v>42</v>
      </c>
      <c r="C51" s="1249">
        <v>4</v>
      </c>
      <c r="D51" s="1249">
        <v>77178.945577346007</v>
      </c>
      <c r="E51" s="1249">
        <v>70</v>
      </c>
      <c r="F51" s="1249">
        <v>1747815.21784075</v>
      </c>
    </row>
    <row r="52" spans="1:6">
      <c r="A52" s="1248" t="s">
        <v>41</v>
      </c>
      <c r="B52" s="1248" t="s">
        <v>28</v>
      </c>
      <c r="C52" s="1249">
        <v>7</v>
      </c>
      <c r="D52" s="1249">
        <v>5436560.4871987198</v>
      </c>
      <c r="E52" s="1249">
        <v>10</v>
      </c>
      <c r="F52" s="1249">
        <v>188783.371658474</v>
      </c>
    </row>
    <row r="53" spans="1:6">
      <c r="A53" s="1248" t="s">
        <v>43</v>
      </c>
      <c r="B53" s="1248" t="s">
        <v>44</v>
      </c>
      <c r="C53" s="1249">
        <v>103</v>
      </c>
      <c r="D53" s="1249">
        <v>2021173.0606426001</v>
      </c>
      <c r="E53" s="1249">
        <v>227</v>
      </c>
      <c r="F53" s="1249">
        <v>1613131.0278434199</v>
      </c>
    </row>
    <row r="54" spans="1:6">
      <c r="A54" s="1248" t="s">
        <v>45</v>
      </c>
      <c r="B54" s="1248" t="s">
        <v>46</v>
      </c>
      <c r="C54" s="1249">
        <v>0</v>
      </c>
      <c r="D54" s="1249">
        <v>0</v>
      </c>
      <c r="E54" s="1249">
        <v>1</v>
      </c>
      <c r="F54" s="1249">
        <v>552591</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37</v>
      </c>
      <c r="D57" s="1249">
        <v>2477436.7140711201</v>
      </c>
      <c r="E57" s="1249">
        <v>88</v>
      </c>
      <c r="F57" s="1249">
        <v>2526072.0179109699</v>
      </c>
    </row>
    <row r="58" spans="1:6">
      <c r="A58" s="1248" t="s">
        <v>48</v>
      </c>
      <c r="B58" s="1248" t="s">
        <v>50</v>
      </c>
      <c r="C58" s="1249">
        <v>38</v>
      </c>
      <c r="D58" s="1249">
        <v>12520831.321946399</v>
      </c>
      <c r="E58" s="1249">
        <v>50</v>
      </c>
      <c r="F58" s="1249">
        <v>1549836.41641113</v>
      </c>
    </row>
    <row r="59" spans="1:6">
      <c r="A59" s="1248" t="s">
        <v>48</v>
      </c>
      <c r="B59" s="1248" t="s">
        <v>51</v>
      </c>
      <c r="C59" s="1249">
        <v>85</v>
      </c>
      <c r="D59" s="1249">
        <v>3938023.3036969798</v>
      </c>
      <c r="E59" s="1249">
        <v>174</v>
      </c>
      <c r="F59" s="1249">
        <v>6278645.5288241599</v>
      </c>
    </row>
    <row r="60" spans="1:6">
      <c r="A60" s="1248" t="s">
        <v>48</v>
      </c>
      <c r="B60" s="1248" t="s">
        <v>52</v>
      </c>
      <c r="C60" s="1249">
        <v>57</v>
      </c>
      <c r="D60" s="1249">
        <v>3165254.7670832202</v>
      </c>
      <c r="E60" s="1249">
        <v>74</v>
      </c>
      <c r="F60" s="1249">
        <v>3142239.81657473</v>
      </c>
    </row>
    <row r="61" spans="1:6">
      <c r="A61" s="1248" t="s">
        <v>48</v>
      </c>
      <c r="B61" s="1248" t="s">
        <v>53</v>
      </c>
      <c r="C61" s="1249">
        <v>180</v>
      </c>
      <c r="D61" s="1249">
        <v>7309873.9975933097</v>
      </c>
      <c r="E61" s="1249">
        <v>296</v>
      </c>
      <c r="F61" s="1249">
        <v>3701281.10340423</v>
      </c>
    </row>
    <row r="62" spans="1:6">
      <c r="A62" s="1248" t="s">
        <v>48</v>
      </c>
      <c r="B62" s="1248" t="s">
        <v>54</v>
      </c>
      <c r="C62" s="1249">
        <v>21</v>
      </c>
      <c r="D62" s="1249">
        <v>6580297.9797719503</v>
      </c>
      <c r="E62" s="1249">
        <v>19</v>
      </c>
      <c r="F62" s="1249">
        <v>1524668.61698844</v>
      </c>
    </row>
    <row r="63" spans="1:6">
      <c r="A63" s="1248" t="s">
        <v>48</v>
      </c>
      <c r="B63" s="1248" t="s">
        <v>28</v>
      </c>
      <c r="C63" s="1249">
        <v>105</v>
      </c>
      <c r="D63" s="1249">
        <v>8414150.1013474502</v>
      </c>
      <c r="E63" s="1249">
        <v>96</v>
      </c>
      <c r="F63" s="1249">
        <v>1810974.9528506901</v>
      </c>
    </row>
    <row r="64" spans="1:6">
      <c r="A64" s="1248" t="s">
        <v>55</v>
      </c>
      <c r="B64" s="1248" t="s">
        <v>56</v>
      </c>
      <c r="C64" s="1249">
        <v>0</v>
      </c>
      <c r="D64" s="1249">
        <v>0</v>
      </c>
      <c r="E64" s="1249">
        <v>0</v>
      </c>
      <c r="F64" s="1249">
        <v>0</v>
      </c>
    </row>
    <row r="65" spans="1:6">
      <c r="A65" s="1248" t="s">
        <v>55</v>
      </c>
      <c r="B65" s="1248" t="s">
        <v>28</v>
      </c>
      <c r="C65" s="1249">
        <v>4</v>
      </c>
      <c r="D65" s="1249">
        <v>105341.748438357</v>
      </c>
      <c r="E65" s="1249">
        <v>3</v>
      </c>
      <c r="F65" s="1249">
        <v>165065.52152795001</v>
      </c>
    </row>
    <row r="66" spans="1:6">
      <c r="A66" s="1248" t="s">
        <v>55</v>
      </c>
      <c r="B66" s="1248" t="s">
        <v>57</v>
      </c>
      <c r="C66" s="1249">
        <v>0</v>
      </c>
      <c r="D66" s="1249">
        <v>0</v>
      </c>
      <c r="E66" s="1249">
        <v>14</v>
      </c>
      <c r="F66" s="1249">
        <v>407740.73200123297</v>
      </c>
    </row>
    <row r="67" spans="1:6">
      <c r="A67" s="1248" t="s">
        <v>55</v>
      </c>
      <c r="B67" s="1248" t="s">
        <v>58</v>
      </c>
      <c r="C67" s="1249">
        <v>0</v>
      </c>
      <c r="D67" s="1249">
        <v>0</v>
      </c>
      <c r="E67" s="1249">
        <v>0</v>
      </c>
      <c r="F67" s="1249">
        <v>0</v>
      </c>
    </row>
    <row r="68" spans="1:6">
      <c r="A68" s="1243" t="s">
        <v>55</v>
      </c>
      <c r="B68" s="1243" t="s">
        <v>59</v>
      </c>
      <c r="C68" s="1251">
        <v>6</v>
      </c>
      <c r="D68" s="1251">
        <v>313435.45277619502</v>
      </c>
      <c r="E68" s="1251">
        <v>15</v>
      </c>
      <c r="F68" s="1251">
        <v>181088.37060418999</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91330183</v>
      </c>
      <c r="E73" s="439"/>
      <c r="F73" s="322"/>
    </row>
    <row r="74" spans="1:6">
      <c r="A74" s="1248" t="s">
        <v>63</v>
      </c>
      <c r="B74" s="1248" t="s">
        <v>617</v>
      </c>
      <c r="C74" s="1261" t="s">
        <v>619</v>
      </c>
      <c r="D74" s="1249">
        <v>8178200.5</v>
      </c>
      <c r="E74" s="439"/>
      <c r="F74" s="322"/>
    </row>
    <row r="75" spans="1:6">
      <c r="A75" s="1248" t="s">
        <v>64</v>
      </c>
      <c r="B75" s="1248" t="s">
        <v>616</v>
      </c>
      <c r="C75" s="1261" t="s">
        <v>620</v>
      </c>
      <c r="D75" s="1249">
        <v>10934010</v>
      </c>
      <c r="E75" s="439"/>
      <c r="F75" s="322"/>
    </row>
    <row r="76" spans="1:6">
      <c r="A76" s="1248" t="s">
        <v>64</v>
      </c>
      <c r="B76" s="1248" t="s">
        <v>617</v>
      </c>
      <c r="C76" s="1261" t="s">
        <v>621</v>
      </c>
      <c r="D76" s="1249">
        <v>205787.5</v>
      </c>
      <c r="E76" s="439"/>
      <c r="F76" s="322"/>
    </row>
    <row r="77" spans="1:6">
      <c r="A77" s="1248" t="s">
        <v>65</v>
      </c>
      <c r="B77" s="1248" t="s">
        <v>616</v>
      </c>
      <c r="C77" s="1261" t="s">
        <v>622</v>
      </c>
      <c r="D77" s="1249">
        <v>5492039</v>
      </c>
      <c r="E77" s="439"/>
      <c r="F77" s="322"/>
    </row>
    <row r="78" spans="1:6">
      <c r="A78" s="1243" t="s">
        <v>65</v>
      </c>
      <c r="B78" s="1243" t="s">
        <v>617</v>
      </c>
      <c r="C78" s="1243" t="s">
        <v>623</v>
      </c>
      <c r="D78" s="1251">
        <v>1309526</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776903</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3422.7391687704026</v>
      </c>
      <c r="C91" s="322"/>
      <c r="D91" s="322"/>
      <c r="E91" s="322"/>
      <c r="F91" s="322"/>
    </row>
    <row r="92" spans="1:6">
      <c r="A92" s="1243" t="s">
        <v>68</v>
      </c>
      <c r="B92" s="1244">
        <v>4575.245574945623</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3064</v>
      </c>
      <c r="C97" s="322"/>
      <c r="D97" s="322"/>
      <c r="E97" s="322"/>
      <c r="F97" s="322"/>
    </row>
    <row r="98" spans="1:6">
      <c r="A98" s="1248" t="s">
        <v>71</v>
      </c>
      <c r="B98" s="1249">
        <v>2</v>
      </c>
      <c r="C98" s="322"/>
      <c r="D98" s="322"/>
      <c r="E98" s="322"/>
      <c r="F98" s="322"/>
    </row>
    <row r="99" spans="1:6">
      <c r="A99" s="1248" t="s">
        <v>72</v>
      </c>
      <c r="B99" s="1249">
        <v>56</v>
      </c>
      <c r="C99" s="322"/>
      <c r="D99" s="322"/>
      <c r="E99" s="322"/>
      <c r="F99" s="322"/>
    </row>
    <row r="100" spans="1:6">
      <c r="A100" s="1248" t="s">
        <v>73</v>
      </c>
      <c r="B100" s="1249">
        <v>513</v>
      </c>
      <c r="C100" s="322"/>
      <c r="D100" s="322"/>
      <c r="E100" s="322"/>
      <c r="F100" s="322"/>
    </row>
    <row r="101" spans="1:6">
      <c r="A101" s="1248" t="s">
        <v>74</v>
      </c>
      <c r="B101" s="1249">
        <v>115</v>
      </c>
      <c r="C101" s="322"/>
      <c r="D101" s="322"/>
      <c r="E101" s="322"/>
      <c r="F101" s="322"/>
    </row>
    <row r="102" spans="1:6">
      <c r="A102" s="1248" t="s">
        <v>75</v>
      </c>
      <c r="B102" s="1249">
        <v>55</v>
      </c>
      <c r="C102" s="322"/>
      <c r="D102" s="322"/>
      <c r="E102" s="322"/>
      <c r="F102" s="322"/>
    </row>
    <row r="103" spans="1:6">
      <c r="A103" s="1248" t="s">
        <v>76</v>
      </c>
      <c r="B103" s="1249">
        <v>102</v>
      </c>
      <c r="C103" s="322"/>
      <c r="D103" s="322"/>
      <c r="E103" s="322"/>
      <c r="F103" s="322"/>
    </row>
    <row r="104" spans="1:6">
      <c r="A104" s="1248" t="s">
        <v>77</v>
      </c>
      <c r="B104" s="1249">
        <v>1072</v>
      </c>
      <c r="C104" s="322"/>
      <c r="D104" s="322"/>
      <c r="E104" s="322"/>
      <c r="F104" s="322"/>
    </row>
    <row r="105" spans="1:6">
      <c r="A105" s="1243" t="s">
        <v>78</v>
      </c>
      <c r="B105" s="1251">
        <v>5</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2</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1</v>
      </c>
      <c r="C122" s="1249">
        <v>0</v>
      </c>
      <c r="D122" s="322"/>
      <c r="E122" s="322"/>
      <c r="F122" s="322"/>
    </row>
    <row r="123" spans="1:6">
      <c r="A123" s="1248" t="s">
        <v>87</v>
      </c>
      <c r="B123" s="1249">
        <v>33</v>
      </c>
      <c r="C123" s="1249">
        <v>18</v>
      </c>
      <c r="D123" s="322"/>
      <c r="E123" s="322"/>
      <c r="F123" s="322"/>
    </row>
    <row r="124" spans="1:6">
      <c r="A124" s="1248" t="s">
        <v>88</v>
      </c>
      <c r="B124" s="1249">
        <v>1</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109</v>
      </c>
      <c r="C129" s="322"/>
      <c r="D129" s="322"/>
      <c r="E129" s="322"/>
      <c r="F129" s="322"/>
    </row>
    <row r="130" spans="1:6">
      <c r="A130" s="1248" t="s">
        <v>283</v>
      </c>
      <c r="B130" s="1249">
        <v>3</v>
      </c>
      <c r="C130" s="322"/>
      <c r="D130" s="322"/>
      <c r="E130" s="322"/>
      <c r="F130" s="322"/>
    </row>
    <row r="131" spans="1:6">
      <c r="A131" s="1248" t="s">
        <v>284</v>
      </c>
      <c r="B131" s="1249">
        <v>3</v>
      </c>
      <c r="C131" s="322"/>
      <c r="D131" s="322"/>
      <c r="E131" s="322"/>
      <c r="F131" s="322"/>
    </row>
    <row r="132" spans="1:6">
      <c r="A132" s="1243" t="s">
        <v>285</v>
      </c>
      <c r="B132" s="1244">
        <v>21</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110818.08881704279</v>
      </c>
      <c r="C3" s="43" t="s">
        <v>163</v>
      </c>
      <c r="D3" s="43"/>
      <c r="E3" s="153"/>
      <c r="F3" s="43"/>
      <c r="G3" s="43"/>
      <c r="H3" s="43"/>
      <c r="I3" s="43"/>
      <c r="J3" s="43"/>
      <c r="K3" s="96"/>
    </row>
    <row r="4" spans="1:11">
      <c r="A4" s="348" t="s">
        <v>164</v>
      </c>
      <c r="B4" s="49">
        <f>IF(ISERROR('SEAP template'!B78+'SEAP template'!C78),0,'SEAP template'!B78+'SEAP template'!C78)</f>
        <v>41302.484743716028</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0.13863213726388085</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22802.142857142859</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552.59100000000001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552.59100000000001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0.13863213726388085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76.606871362785185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23828.463997022987</v>
      </c>
      <c r="C5" s="17">
        <f>IF(ISERROR('Eigen informatie GS &amp; warmtenet'!B57),0,'Eigen informatie GS &amp; warmtenet'!B57)</f>
        <v>0</v>
      </c>
      <c r="D5" s="30">
        <f>(SUM(HH_hh_gas_kWh,HH_rest_gas_kWh)/1000)*0.902</f>
        <v>74351.093185580219</v>
      </c>
      <c r="E5" s="17">
        <f>B32*B41</f>
        <v>1008.4311347478608</v>
      </c>
      <c r="F5" s="17">
        <f>B36*B45</f>
        <v>23374.649127695255</v>
      </c>
      <c r="G5" s="18"/>
      <c r="H5" s="17"/>
      <c r="I5" s="17"/>
      <c r="J5" s="17">
        <f>B35*B44+C35*C44</f>
        <v>120.12510674020184</v>
      </c>
      <c r="K5" s="17"/>
      <c r="L5" s="17"/>
      <c r="M5" s="17"/>
      <c r="N5" s="17">
        <f>B34*B43+C34*C43</f>
        <v>7958.9822768500972</v>
      </c>
      <c r="O5" s="17">
        <f>B52*B53*B54</f>
        <v>198.54333333333332</v>
      </c>
      <c r="P5" s="17">
        <f>B60*B61*B62/1000-B60*B61*B62/1000/B63</f>
        <v>1048.6666666666667</v>
      </c>
    </row>
    <row r="6" spans="1:16">
      <c r="A6" s="16" t="s">
        <v>582</v>
      </c>
      <c r="B6" s="716">
        <f>kWh_PV_kleiner_dan_10kW</f>
        <v>3422.7391687704026</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27251.203165793391</v>
      </c>
      <c r="C8" s="21">
        <f>C5</f>
        <v>0</v>
      </c>
      <c r="D8" s="21">
        <f>D5</f>
        <v>74351.093185580219</v>
      </c>
      <c r="E8" s="21">
        <f>E5</f>
        <v>1008.4311347478608</v>
      </c>
      <c r="F8" s="21">
        <f>F5</f>
        <v>23374.649127695255</v>
      </c>
      <c r="G8" s="21"/>
      <c r="H8" s="21"/>
      <c r="I8" s="21"/>
      <c r="J8" s="21">
        <f>J5</f>
        <v>120.12510674020184</v>
      </c>
      <c r="K8" s="21"/>
      <c r="L8" s="21">
        <f>L5</f>
        <v>0</v>
      </c>
      <c r="M8" s="21">
        <f>M5</f>
        <v>0</v>
      </c>
      <c r="N8" s="21">
        <f>N5</f>
        <v>7958.9822768500972</v>
      </c>
      <c r="O8" s="21">
        <f>O5</f>
        <v>198.54333333333332</v>
      </c>
      <c r="P8" s="21">
        <f>P5</f>
        <v>1048.6666666666667</v>
      </c>
    </row>
    <row r="9" spans="1:16">
      <c r="B9" s="19"/>
      <c r="C9" s="19"/>
      <c r="D9" s="253"/>
      <c r="E9" s="19"/>
      <c r="F9" s="19"/>
      <c r="G9" s="19"/>
      <c r="H9" s="19"/>
      <c r="I9" s="19"/>
      <c r="J9" s="19"/>
      <c r="K9" s="19"/>
      <c r="L9" s="19"/>
      <c r="M9" s="19"/>
      <c r="N9" s="19"/>
      <c r="O9" s="19"/>
      <c r="P9" s="19"/>
    </row>
    <row r="10" spans="1:16">
      <c r="A10" s="24" t="s">
        <v>207</v>
      </c>
      <c r="B10" s="25">
        <f ca="1">'EF ele_warmte'!B12</f>
        <v>0.13863213726388085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3777.8925378861736</v>
      </c>
      <c r="C12" s="23">
        <f ca="1">C10*C8</f>
        <v>0</v>
      </c>
      <c r="D12" s="23">
        <f>D8*D10</f>
        <v>15018.920823487206</v>
      </c>
      <c r="E12" s="23">
        <f>E10*E8</f>
        <v>228.9138675877644</v>
      </c>
      <c r="F12" s="23">
        <f>F10*F8</f>
        <v>6241.0313170946338</v>
      </c>
      <c r="G12" s="23"/>
      <c r="H12" s="23"/>
      <c r="I12" s="23"/>
      <c r="J12" s="23">
        <f>J10*J8</f>
        <v>42.524287786031451</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5986</v>
      </c>
      <c r="C26" s="36"/>
      <c r="D26" s="224"/>
    </row>
    <row r="27" spans="1:5" s="15" customFormat="1">
      <c r="A27" s="226" t="s">
        <v>736</v>
      </c>
      <c r="B27" s="37">
        <f>SUM(HH_hh_gas_aantal,HH_rest_gas_aantal)</f>
        <v>4462</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4238.8999999999996</v>
      </c>
      <c r="C31" s="34" t="s">
        <v>104</v>
      </c>
      <c r="D31" s="170"/>
    </row>
    <row r="32" spans="1:5">
      <c r="A32" s="167" t="s">
        <v>72</v>
      </c>
      <c r="B32" s="33">
        <f>IF((B21*($B$26-($B$27-0.05*$B$27)-$B$60))&lt;0,0,B21*($B$26-($B$27-0.05*$B$27)-$B$60))</f>
        <v>18.634814792994593</v>
      </c>
      <c r="C32" s="34" t="s">
        <v>104</v>
      </c>
      <c r="D32" s="170"/>
    </row>
    <row r="33" spans="1:6">
      <c r="A33" s="167" t="s">
        <v>73</v>
      </c>
      <c r="B33" s="33">
        <f>IF((B22*($B$26-($B$27-0.05*$B$27)-$B$60))&lt;0,0,B22*($B$26-($B$27-0.05*$B$27)-$B$60))</f>
        <v>387.43344849142267</v>
      </c>
      <c r="C33" s="34" t="s">
        <v>104</v>
      </c>
      <c r="D33" s="170"/>
    </row>
    <row r="34" spans="1:6">
      <c r="A34" s="167" t="s">
        <v>74</v>
      </c>
      <c r="B34" s="33">
        <f>IF((B24*($B$26-($B$27-0.05*$B$27)-$B$60))&lt;0,0,B24*($B$26-($B$27-0.05*$B$27)-$B$60))</f>
        <v>151.21394672995228</v>
      </c>
      <c r="C34" s="33">
        <f>B26*C24</f>
        <v>1060.2680876003292</v>
      </c>
      <c r="D34" s="229"/>
    </row>
    <row r="35" spans="1:6">
      <c r="A35" s="167" t="s">
        <v>76</v>
      </c>
      <c r="B35" s="33">
        <f>IF((B19*($B$26-($B$27-0.05*$B$27)-$B$60))&lt;0,0,B19*($B$26-($B$27-0.05*$B$27)-$B$60))</f>
        <v>14.104545393592961</v>
      </c>
      <c r="C35" s="33">
        <f>B35/2</f>
        <v>7.0522726967964804</v>
      </c>
      <c r="D35" s="229"/>
    </row>
    <row r="36" spans="1:6">
      <c r="A36" s="167" t="s">
        <v>77</v>
      </c>
      <c r="B36" s="33">
        <f>IF((B18*($B$26-($B$27-0.05*$B$27)-$B$60))&lt;0,0,B18*($B$26-($B$27-0.05*$B$27)-$B$60))</f>
        <v>1120.7132445920379</v>
      </c>
      <c r="C36" s="34" t="s">
        <v>104</v>
      </c>
      <c r="D36" s="170"/>
    </row>
    <row r="37" spans="1:6">
      <c r="A37" s="167" t="s">
        <v>78</v>
      </c>
      <c r="B37" s="33">
        <f>B60</f>
        <v>55</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127</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55</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20533.718452964353</v>
      </c>
      <c r="C5" s="17">
        <f>IF(ISERROR('Eigen informatie GS &amp; warmtenet'!B58),0,'Eigen informatie GS &amp; warmtenet'!B58)</f>
        <v>0</v>
      </c>
      <c r="D5" s="30">
        <f>SUM(D6:D12)</f>
        <v>40054.093103330415</v>
      </c>
      <c r="E5" s="17">
        <f>SUM(E6:E12)</f>
        <v>315.20798900686339</v>
      </c>
      <c r="F5" s="17">
        <f>SUM(F6:F12)</f>
        <v>3733.0068151797914</v>
      </c>
      <c r="G5" s="18"/>
      <c r="H5" s="17"/>
      <c r="I5" s="17"/>
      <c r="J5" s="17">
        <f>SUM(J6:J12)</f>
        <v>3.141876799922131E-2</v>
      </c>
      <c r="K5" s="17"/>
      <c r="L5" s="17"/>
      <c r="M5" s="17"/>
      <c r="N5" s="17">
        <f>SUM(N6:N12)</f>
        <v>1290.9082966010317</v>
      </c>
      <c r="O5" s="17">
        <f>B38*B39*B40</f>
        <v>4.6900000000000004</v>
      </c>
      <c r="P5" s="17">
        <f>B46*B47*B48/1000-B46*B47*B48/1000/B49</f>
        <v>76.266666666666666</v>
      </c>
      <c r="R5" s="32"/>
    </row>
    <row r="6" spans="1:18">
      <c r="A6" s="32" t="s">
        <v>53</v>
      </c>
      <c r="B6" s="37">
        <f>B26</f>
        <v>3701.2811034042302</v>
      </c>
      <c r="C6" s="33"/>
      <c r="D6" s="37">
        <f>IF(ISERROR(TER_kantoor_gas_kWh/1000),0,TER_kantoor_gas_kWh/1000)*0.902</f>
        <v>6593.5063458291652</v>
      </c>
      <c r="E6" s="33">
        <f>$C$26*'E Balans VL '!I12/100/3.6*1000000</f>
        <v>-3.0392335671942174E-4</v>
      </c>
      <c r="F6" s="33">
        <f>$C$26*('E Balans VL '!L12+'E Balans VL '!N12)/100/3.6*1000000</f>
        <v>469.06846390122485</v>
      </c>
      <c r="G6" s="34"/>
      <c r="H6" s="33"/>
      <c r="I6" s="33"/>
      <c r="J6" s="33">
        <f>$C$26*('E Balans VL '!D12+'E Balans VL '!E12)/100/3.6*1000000</f>
        <v>0</v>
      </c>
      <c r="K6" s="33"/>
      <c r="L6" s="33"/>
      <c r="M6" s="33"/>
      <c r="N6" s="33">
        <f>$C$26*'E Balans VL '!Y12/100/3.6*1000000</f>
        <v>4.5398402012947408</v>
      </c>
      <c r="O6" s="33"/>
      <c r="P6" s="33"/>
      <c r="R6" s="32"/>
    </row>
    <row r="7" spans="1:18">
      <c r="A7" s="32" t="s">
        <v>52</v>
      </c>
      <c r="B7" s="37">
        <f t="shared" ref="B7:B12" si="0">B27</f>
        <v>3142.23981657473</v>
      </c>
      <c r="C7" s="33"/>
      <c r="D7" s="37">
        <f>IF(ISERROR(TER_horeca_gas_kWh/1000),0,TER_horeca_gas_kWh/1000)*0.902</f>
        <v>2855.0597999090646</v>
      </c>
      <c r="E7" s="33">
        <f>$C$27*'E Balans VL '!I9/100/3.6*1000000</f>
        <v>36.168719163349827</v>
      </c>
      <c r="F7" s="33">
        <f>$C$27*('E Balans VL '!L9+'E Balans VL '!N9)/100/3.6*1000000</f>
        <v>405.14103572158689</v>
      </c>
      <c r="G7" s="34"/>
      <c r="H7" s="33"/>
      <c r="I7" s="33"/>
      <c r="J7" s="33">
        <f>$C$27*('E Balans VL '!D9+'E Balans VL '!E9)/100/3.6*1000000</f>
        <v>0</v>
      </c>
      <c r="K7" s="33"/>
      <c r="L7" s="33"/>
      <c r="M7" s="33"/>
      <c r="N7" s="33">
        <f>$C$27*'E Balans VL '!Y9/100/3.6*1000000</f>
        <v>33.165621186647307</v>
      </c>
      <c r="O7" s="33"/>
      <c r="P7" s="33"/>
      <c r="R7" s="32"/>
    </row>
    <row r="8" spans="1:18">
      <c r="A8" s="6" t="s">
        <v>51</v>
      </c>
      <c r="B8" s="37">
        <f t="shared" si="0"/>
        <v>6278.6455288241596</v>
      </c>
      <c r="C8" s="33"/>
      <c r="D8" s="37">
        <f>IF(ISERROR(TER_handel_gas_kWh/1000),0,TER_handel_gas_kWh/1000)*0.902</f>
        <v>3552.0970199346757</v>
      </c>
      <c r="E8" s="33">
        <f>$C$28*'E Balans VL '!I13/100/3.6*1000000</f>
        <v>177.14824771791049</v>
      </c>
      <c r="F8" s="33">
        <f>$C$28*('E Balans VL '!L13+'E Balans VL '!N13)/100/3.6*1000000</f>
        <v>631.49713356269206</v>
      </c>
      <c r="G8" s="34"/>
      <c r="H8" s="33"/>
      <c r="I8" s="33"/>
      <c r="J8" s="33">
        <f>$C$28*('E Balans VL '!D13+'E Balans VL '!E13)/100/3.6*1000000</f>
        <v>0</v>
      </c>
      <c r="K8" s="33"/>
      <c r="L8" s="33"/>
      <c r="M8" s="33"/>
      <c r="N8" s="33">
        <f>$C$28*'E Balans VL '!Y13/100/3.6*1000000</f>
        <v>8.6669668733128109</v>
      </c>
      <c r="O8" s="33"/>
      <c r="P8" s="33"/>
      <c r="R8" s="32"/>
    </row>
    <row r="9" spans="1:18">
      <c r="A9" s="32" t="s">
        <v>50</v>
      </c>
      <c r="B9" s="37">
        <f t="shared" si="0"/>
        <v>1549.8364164111299</v>
      </c>
      <c r="C9" s="33"/>
      <c r="D9" s="37">
        <f>IF(ISERROR(TER_gezond_gas_kWh/1000),0,TER_gezond_gas_kWh/1000)*0.902</f>
        <v>11293.789852395654</v>
      </c>
      <c r="E9" s="33">
        <f>$C$29*'E Balans VL '!I10/100/3.6*1000000</f>
        <v>3.0960960178926742</v>
      </c>
      <c r="F9" s="33">
        <f>$C$29*('E Balans VL '!L10+'E Balans VL '!N10)/100/3.6*1000000</f>
        <v>135.79675828475217</v>
      </c>
      <c r="G9" s="34"/>
      <c r="H9" s="33"/>
      <c r="I9" s="33"/>
      <c r="J9" s="33">
        <f>$C$29*('E Balans VL '!D10+'E Balans VL '!E10)/100/3.6*1000000</f>
        <v>0</v>
      </c>
      <c r="K9" s="33"/>
      <c r="L9" s="33"/>
      <c r="M9" s="33"/>
      <c r="N9" s="33">
        <f>$C$29*'E Balans VL '!Y10/100/3.6*1000000</f>
        <v>23.443503567993826</v>
      </c>
      <c r="O9" s="33"/>
      <c r="P9" s="33"/>
      <c r="R9" s="32"/>
    </row>
    <row r="10" spans="1:18">
      <c r="A10" s="32" t="s">
        <v>49</v>
      </c>
      <c r="B10" s="37">
        <f t="shared" si="0"/>
        <v>2526.0720179109699</v>
      </c>
      <c r="C10" s="33"/>
      <c r="D10" s="37">
        <f>IF(ISERROR(TER_ander_gas_kWh/1000),0,TER_ander_gas_kWh/1000)*0.902</f>
        <v>2234.6479160921504</v>
      </c>
      <c r="E10" s="33">
        <f>$C$30*'E Balans VL '!I14/100/3.6*1000000</f>
        <v>35.58625905538905</v>
      </c>
      <c r="F10" s="33">
        <f>$C$30*('E Balans VL '!L14+'E Balans VL '!N14)/100/3.6*1000000</f>
        <v>1532.3476724795828</v>
      </c>
      <c r="G10" s="34"/>
      <c r="H10" s="33"/>
      <c r="I10" s="33"/>
      <c r="J10" s="33">
        <f>$C$30*('E Balans VL '!D14+'E Balans VL '!E14)/100/3.6*1000000</f>
        <v>2.7731414698693443E-2</v>
      </c>
      <c r="K10" s="33"/>
      <c r="L10" s="33"/>
      <c r="M10" s="33"/>
      <c r="N10" s="33">
        <f>$C$30*'E Balans VL '!Y14/100/3.6*1000000</f>
        <v>1068.3547864007735</v>
      </c>
      <c r="O10" s="33"/>
      <c r="P10" s="33"/>
      <c r="R10" s="32"/>
    </row>
    <row r="11" spans="1:18">
      <c r="A11" s="32" t="s">
        <v>54</v>
      </c>
      <c r="B11" s="37">
        <f t="shared" si="0"/>
        <v>1524.6686169884401</v>
      </c>
      <c r="C11" s="33"/>
      <c r="D11" s="37">
        <f>IF(ISERROR(TER_onderwijs_gas_kWh/1000),0,TER_onderwijs_gas_kWh/1000)*0.902</f>
        <v>5935.4287777542986</v>
      </c>
      <c r="E11" s="33">
        <f>$C$31*'E Balans VL '!I11/100/3.6*1000000</f>
        <v>39.794600328658376</v>
      </c>
      <c r="F11" s="33">
        <f>$C$31*('E Balans VL '!L11+'E Balans VL '!N11)/100/3.6*1000000</f>
        <v>187.62328521321689</v>
      </c>
      <c r="G11" s="34"/>
      <c r="H11" s="33"/>
      <c r="I11" s="33"/>
      <c r="J11" s="33">
        <f>$C$31*('E Balans VL '!D11+'E Balans VL '!E11)/100/3.6*1000000</f>
        <v>0</v>
      </c>
      <c r="K11" s="33"/>
      <c r="L11" s="33"/>
      <c r="M11" s="33"/>
      <c r="N11" s="33">
        <f>$C$31*'E Balans VL '!Y11/100/3.6*1000000</f>
        <v>4.8281756923979531</v>
      </c>
      <c r="O11" s="33"/>
      <c r="P11" s="33"/>
      <c r="R11" s="32"/>
    </row>
    <row r="12" spans="1:18">
      <c r="A12" s="32" t="s">
        <v>248</v>
      </c>
      <c r="B12" s="37">
        <f t="shared" si="0"/>
        <v>1810.9749528506902</v>
      </c>
      <c r="C12" s="33"/>
      <c r="D12" s="37">
        <f>IF(ISERROR(TER_rest_gas_kWh/1000),0,TER_rest_gas_kWh/1000)*0.902</f>
        <v>7589.5633914153996</v>
      </c>
      <c r="E12" s="33">
        <f>$C$32*'E Balans VL '!I8/100/3.6*1000000</f>
        <v>23.414370647019744</v>
      </c>
      <c r="F12" s="33">
        <f>$C$32*('E Balans VL '!L8+'E Balans VL '!N8)/100/3.6*1000000</f>
        <v>371.53246601673504</v>
      </c>
      <c r="G12" s="34"/>
      <c r="H12" s="33"/>
      <c r="I12" s="33"/>
      <c r="J12" s="33">
        <f>$C$32*('E Balans VL '!D8+'E Balans VL '!E8)/100/3.6*1000000</f>
        <v>3.6873533005278678E-3</v>
      </c>
      <c r="K12" s="33"/>
      <c r="L12" s="33"/>
      <c r="M12" s="33"/>
      <c r="N12" s="33">
        <f>$C$32*'E Balans VL '!Y8/100/3.6*1000000</f>
        <v>147.90940267861151</v>
      </c>
      <c r="O12" s="33"/>
      <c r="P12" s="33"/>
      <c r="R12" s="32"/>
    </row>
    <row r="13" spans="1:18">
      <c r="A13" s="16" t="s">
        <v>473</v>
      </c>
      <c r="B13" s="242">
        <f ca="1">'lokale energieproductie'!N38+'lokale energieproductie'!N31</f>
        <v>15961.5</v>
      </c>
      <c r="C13" s="242">
        <f ca="1">'lokale energieproductie'!O38+'lokale energieproductie'!O31</f>
        <v>22802.142857142859</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-45604.285714285717</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36495.218452964356</v>
      </c>
      <c r="C16" s="21">
        <f t="shared" ca="1" si="1"/>
        <v>22802.142857142859</v>
      </c>
      <c r="D16" s="21">
        <f t="shared" ca="1" si="1"/>
        <v>40054.093103330415</v>
      </c>
      <c r="E16" s="21">
        <f t="shared" si="1"/>
        <v>315.20798900686339</v>
      </c>
      <c r="F16" s="21">
        <f t="shared" ca="1" si="1"/>
        <v>3733.0068151797914</v>
      </c>
      <c r="G16" s="21">
        <f t="shared" si="1"/>
        <v>0</v>
      </c>
      <c r="H16" s="21">
        <f t="shared" si="1"/>
        <v>0</v>
      </c>
      <c r="I16" s="21">
        <f t="shared" si="1"/>
        <v>0</v>
      </c>
      <c r="J16" s="21">
        <f t="shared" si="1"/>
        <v>3.141876799922131E-2</v>
      </c>
      <c r="K16" s="21">
        <f t="shared" si="1"/>
        <v>0</v>
      </c>
      <c r="L16" s="21">
        <f t="shared" ca="1" si="1"/>
        <v>0</v>
      </c>
      <c r="M16" s="21">
        <f t="shared" si="1"/>
        <v>0</v>
      </c>
      <c r="N16" s="21">
        <f t="shared" ca="1" si="1"/>
        <v>0</v>
      </c>
      <c r="O16" s="21">
        <f>O5</f>
        <v>4.6900000000000004</v>
      </c>
      <c r="P16" s="21">
        <f>P5</f>
        <v>76.266666666666666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0.13863213726388085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5059.4101340466723</v>
      </c>
      <c r="C20" s="23">
        <f t="shared" ref="C20:P20" ca="1" si="2">C16*C18</f>
        <v>0</v>
      </c>
      <c r="D20" s="23">
        <f t="shared" ca="1" si="2"/>
        <v>8090.9268068727442</v>
      </c>
      <c r="E20" s="23">
        <f t="shared" si="2"/>
        <v>71.552213504557997</v>
      </c>
      <c r="F20" s="23">
        <f t="shared" ca="1" si="2"/>
        <v>996.71281965300432</v>
      </c>
      <c r="G20" s="23">
        <f t="shared" si="2"/>
        <v>0</v>
      </c>
      <c r="H20" s="23">
        <f t="shared" si="2"/>
        <v>0</v>
      </c>
      <c r="I20" s="23">
        <f t="shared" si="2"/>
        <v>0</v>
      </c>
      <c r="J20" s="23">
        <f t="shared" si="2"/>
        <v>1.1122243871724342E-2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3701.2811034042302</v>
      </c>
      <c r="C26" s="39">
        <f>IF(ISERROR(B26*3.6/1000000/'E Balans VL '!Z12*100),0,B26*3.6/1000000/'E Balans VL '!Z12*100)</f>
        <v>0.10034491158753135</v>
      </c>
      <c r="D26" s="232" t="s">
        <v>700</v>
      </c>
      <c r="F26" s="6"/>
    </row>
    <row r="27" spans="1:18">
      <c r="A27" s="227" t="s">
        <v>52</v>
      </c>
      <c r="B27" s="33">
        <f>IF(ISERROR(TER_horeca_ele_kWh/1000),0,TER_horeca_ele_kWh/1000)</f>
        <v>3142.23981657473</v>
      </c>
      <c r="C27" s="39">
        <f>IF(ISERROR(B27*3.6/1000000/'E Balans VL '!Z9*100),0,B27*3.6/1000000/'E Balans VL '!Z9*100)</f>
        <v>0.24305554596015166</v>
      </c>
      <c r="D27" s="232" t="s">
        <v>700</v>
      </c>
      <c r="F27" s="6"/>
    </row>
    <row r="28" spans="1:18">
      <c r="A28" s="167" t="s">
        <v>51</v>
      </c>
      <c r="B28" s="33">
        <f>IF(ISERROR(TER_handel_ele_kWh/1000),0,TER_handel_ele_kWh/1000)</f>
        <v>6278.6455288241596</v>
      </c>
      <c r="C28" s="39">
        <f>IF(ISERROR(B28*3.6/1000000/'E Balans VL '!Z13*100),0,B28*3.6/1000000/'E Balans VL '!Z13*100)</f>
        <v>0.18159466719443099</v>
      </c>
      <c r="D28" s="232" t="s">
        <v>700</v>
      </c>
      <c r="F28" s="6"/>
    </row>
    <row r="29" spans="1:18">
      <c r="A29" s="227" t="s">
        <v>50</v>
      </c>
      <c r="B29" s="33">
        <f>IF(ISERROR(TER_gezond_ele_kWh/1000),0,TER_gezond_ele_kWh/1000)</f>
        <v>1549.8364164111299</v>
      </c>
      <c r="C29" s="39">
        <f>IF(ISERROR(B29*3.6/1000000/'E Balans VL '!Z10*100),0,B29*3.6/1000000/'E Balans VL '!Z10*100)</f>
        <v>0.15961795166691287</v>
      </c>
      <c r="D29" s="232" t="s">
        <v>700</v>
      </c>
      <c r="F29" s="6"/>
    </row>
    <row r="30" spans="1:18">
      <c r="A30" s="227" t="s">
        <v>49</v>
      </c>
      <c r="B30" s="33">
        <f>IF(ISERROR(TER_ander_ele_kWh/1000),0,TER_ander_ele_kWh/1000)</f>
        <v>2526.0720179109699</v>
      </c>
      <c r="C30" s="39">
        <f>IF(ISERROR(B30*3.6/1000000/'E Balans VL '!Z14*100),0,B30*3.6/1000000/'E Balans VL '!Z14*100)</f>
        <v>0.11357575985813013</v>
      </c>
      <c r="D30" s="232" t="s">
        <v>700</v>
      </c>
      <c r="F30" s="6"/>
    </row>
    <row r="31" spans="1:18">
      <c r="A31" s="227" t="s">
        <v>54</v>
      </c>
      <c r="B31" s="33">
        <f>IF(ISERROR(TER_onderwijs_ele_kWh/1000),0,TER_onderwijs_ele_kWh/1000)</f>
        <v>1524.6686169884401</v>
      </c>
      <c r="C31" s="39">
        <f>IF(ISERROR(B31*3.6/1000000/'E Balans VL '!Z11*100),0,B31*3.6/1000000/'E Balans VL '!Z11*100)</f>
        <v>0.4260944550664934</v>
      </c>
      <c r="D31" s="232" t="s">
        <v>700</v>
      </c>
    </row>
    <row r="32" spans="1:18">
      <c r="A32" s="227" t="s">
        <v>248</v>
      </c>
      <c r="B32" s="33">
        <f>IF(ISERROR(TER_rest_ele_kWh/1000),0,TER_rest_ele_kWh/1000)</f>
        <v>1810.9749528506902</v>
      </c>
      <c r="C32" s="39">
        <f>IF(ISERROR(B32*3.6/1000000/'E Balans VL '!Z8*100),0,B32*3.6/1000000/'E Balans VL '!Z8*100)</f>
        <v>1.510178826154758E-2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3</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4</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42885.245080065913</v>
      </c>
      <c r="C5" s="17">
        <f>IF(ISERROR('Eigen informatie GS &amp; warmtenet'!B59),0,'Eigen informatie GS &amp; warmtenet'!B59)</f>
        <v>0</v>
      </c>
      <c r="D5" s="30">
        <f>SUM(D6:D15)</f>
        <v>45176.802237625096</v>
      </c>
      <c r="E5" s="17">
        <f>SUM(E6:E15)</f>
        <v>1183.1404048747668</v>
      </c>
      <c r="F5" s="17">
        <f>SUM(F6:F15)</f>
        <v>9069.7931704156163</v>
      </c>
      <c r="G5" s="18"/>
      <c r="H5" s="17"/>
      <c r="I5" s="17"/>
      <c r="J5" s="17">
        <f>SUM(J6:J15)</f>
        <v>55.783179615559874</v>
      </c>
      <c r="K5" s="17"/>
      <c r="L5" s="17"/>
      <c r="M5" s="17"/>
      <c r="N5" s="17">
        <f>SUM(N6:N15)</f>
        <v>1185.9278280672593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6926.6357592774302</v>
      </c>
      <c r="C8" s="33"/>
      <c r="D8" s="37">
        <f>IF( ISERROR(IND_metaal_Gas_kWH/1000),0,IND_metaal_Gas_kWH/1000)*0.902</f>
        <v>0</v>
      </c>
      <c r="E8" s="33">
        <f>C30*'E Balans VL '!I18/100/3.6*1000000</f>
        <v>62.861341721614686</v>
      </c>
      <c r="F8" s="33">
        <f>C30*'E Balans VL '!L18/100/3.6*1000000+C30*'E Balans VL '!N18/100/3.6*1000000</f>
        <v>637.54198838735806</v>
      </c>
      <c r="G8" s="34"/>
      <c r="H8" s="33"/>
      <c r="I8" s="33"/>
      <c r="J8" s="40">
        <f>C30*'E Balans VL '!D18/100/3.6*1000000+C30*'E Balans VL '!E18/100/3.6*1000000</f>
        <v>0</v>
      </c>
      <c r="K8" s="33"/>
      <c r="L8" s="33"/>
      <c r="M8" s="33"/>
      <c r="N8" s="33">
        <f>C30*'E Balans VL '!Y18/100/3.6*1000000</f>
        <v>101.12342744916884</v>
      </c>
      <c r="O8" s="33"/>
      <c r="P8" s="33"/>
      <c r="R8" s="32"/>
    </row>
    <row r="9" spans="1:18">
      <c r="A9" s="6" t="s">
        <v>32</v>
      </c>
      <c r="B9" s="37">
        <f t="shared" si="0"/>
        <v>7429.2003615898202</v>
      </c>
      <c r="C9" s="33"/>
      <c r="D9" s="37">
        <f>IF( ISERROR(IND_andere_gas_kWh/1000),0,IND_andere_gas_kWh/1000)*0.902</f>
        <v>1916.33246637962</v>
      </c>
      <c r="E9" s="33">
        <f>C31*'E Balans VL '!I19/100/3.6*1000000</f>
        <v>43.120757870331261</v>
      </c>
      <c r="F9" s="33">
        <f>C31*'E Balans VL '!L19/100/3.6*1000000+C31*'E Balans VL '!N19/100/3.6*1000000</f>
        <v>4899.4742178730303</v>
      </c>
      <c r="G9" s="34"/>
      <c r="H9" s="33"/>
      <c r="I9" s="33"/>
      <c r="J9" s="40">
        <f>C31*'E Balans VL '!D19/100/3.6*1000000+C31*'E Balans VL '!E19/100/3.6*1000000</f>
        <v>0</v>
      </c>
      <c r="K9" s="33"/>
      <c r="L9" s="33"/>
      <c r="M9" s="33"/>
      <c r="N9" s="33">
        <f>C31*'E Balans VL '!Y19/100/3.6*1000000</f>
        <v>344.05272664221877</v>
      </c>
      <c r="O9" s="33"/>
      <c r="P9" s="33"/>
      <c r="R9" s="32"/>
    </row>
    <row r="10" spans="1:18">
      <c r="A10" s="6" t="s">
        <v>40</v>
      </c>
      <c r="B10" s="37">
        <f t="shared" si="0"/>
        <v>11594.8896188289</v>
      </c>
      <c r="C10" s="33"/>
      <c r="D10" s="37">
        <f>IF( ISERROR(IND_voed_gas_kWh/1000),0,IND_voed_gas_kWh/1000)*0.902</f>
        <v>2416.232916301828</v>
      </c>
      <c r="E10" s="33">
        <f>C32*'E Balans VL '!I20/100/3.6*1000000</f>
        <v>24.572275693169484</v>
      </c>
      <c r="F10" s="33">
        <f>C32*'E Balans VL '!L20/100/3.6*1000000+C32*'E Balans VL '!N20/100/3.6*1000000</f>
        <v>736.90313187159734</v>
      </c>
      <c r="G10" s="34"/>
      <c r="H10" s="33"/>
      <c r="I10" s="33"/>
      <c r="J10" s="40">
        <f>C32*'E Balans VL '!D20/100/3.6*1000000+C32*'E Balans VL '!E20/100/3.6*1000000</f>
        <v>0</v>
      </c>
      <c r="K10" s="33"/>
      <c r="L10" s="33"/>
      <c r="M10" s="33"/>
      <c r="N10" s="33">
        <f>C32*'E Balans VL '!Y20/100/3.6*1000000</f>
        <v>336.12300769674454</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49.657439931486799</v>
      </c>
      <c r="C13" s="33"/>
      <c r="D13" s="37">
        <f>IF( ISERROR(IND_papier_gas_kWh/1000),0,IND_papier_gas_kWh/1000)*0.902</f>
        <v>91.084131569488562</v>
      </c>
      <c r="E13" s="33">
        <f>C35*'E Balans VL '!I23/100/3.6*1000000</f>
        <v>7.3297565843445517E-2</v>
      </c>
      <c r="F13" s="33">
        <f>C35*'E Balans VL '!L23/100/3.6*1000000+C35*'E Balans VL '!N23/100/3.6*1000000</f>
        <v>1.2859777833987358</v>
      </c>
      <c r="G13" s="34"/>
      <c r="H13" s="33"/>
      <c r="I13" s="33"/>
      <c r="J13" s="40">
        <f>C35*'E Balans VL '!D23/100/3.6*1000000+C35*'E Balans VL '!E23/100/3.6*1000000</f>
        <v>7.9901226525981844E-3</v>
      </c>
      <c r="K13" s="33"/>
      <c r="L13" s="33"/>
      <c r="M13" s="33"/>
      <c r="N13" s="33">
        <f>C35*'E Balans VL '!Y23/100/3.6*1000000</f>
        <v>-2.2552903684041961</v>
      </c>
      <c r="O13" s="33"/>
      <c r="P13" s="33"/>
      <c r="R13" s="32"/>
    </row>
    <row r="14" spans="1:18">
      <c r="A14" s="6" t="s">
        <v>33</v>
      </c>
      <c r="B14" s="37">
        <f t="shared" si="0"/>
        <v>1046.7745696207799</v>
      </c>
      <c r="C14" s="33"/>
      <c r="D14" s="37">
        <f>IF( ISERROR(IND_chemie_gas_kWh/1000),0,IND_chemie_gas_kWh/1000)*0.902</f>
        <v>0</v>
      </c>
      <c r="E14" s="33">
        <f>C36*'E Balans VL '!I24/100/3.6*1000000</f>
        <v>195.67509487426867</v>
      </c>
      <c r="F14" s="33">
        <f>C36*'E Balans VL '!L24/100/3.6*1000000+C36*'E Balans VL '!N24/100/3.6*1000000</f>
        <v>10.811608448782131</v>
      </c>
      <c r="G14" s="34"/>
      <c r="H14" s="33"/>
      <c r="I14" s="33"/>
      <c r="J14" s="40">
        <f>C36*'E Balans VL '!D24/100/3.6*1000000+C36*'E Balans VL '!E24/100/3.6*1000000</f>
        <v>0</v>
      </c>
      <c r="K14" s="33"/>
      <c r="L14" s="33"/>
      <c r="M14" s="33"/>
      <c r="N14" s="33">
        <f>C36*'E Balans VL '!Y24/100/3.6*1000000</f>
        <v>0.59503712975872503</v>
      </c>
      <c r="O14" s="33"/>
      <c r="P14" s="33"/>
      <c r="R14" s="32"/>
    </row>
    <row r="15" spans="1:18">
      <c r="A15" s="6" t="s">
        <v>258</v>
      </c>
      <c r="B15" s="37">
        <f t="shared" si="0"/>
        <v>15838.0873308175</v>
      </c>
      <c r="C15" s="33"/>
      <c r="D15" s="37">
        <f>IF( ISERROR(IND_rest_gas_kWh/1000),0,IND_rest_gas_kWh/1000)*0.902</f>
        <v>40753.152723374158</v>
      </c>
      <c r="E15" s="33">
        <f>C37*'E Balans VL '!I15/100/3.6*1000000</f>
        <v>856.8376371495392</v>
      </c>
      <c r="F15" s="33">
        <f>C37*'E Balans VL '!L15/100/3.6*1000000+C37*'E Balans VL '!N15/100/3.6*1000000</f>
        <v>2783.7762460514496</v>
      </c>
      <c r="G15" s="34"/>
      <c r="H15" s="33"/>
      <c r="I15" s="33"/>
      <c r="J15" s="40">
        <f>C37*'E Balans VL '!D15/100/3.6*1000000+C37*'E Balans VL '!E15/100/3.6*1000000</f>
        <v>55.775189492907273</v>
      </c>
      <c r="K15" s="33"/>
      <c r="L15" s="33"/>
      <c r="M15" s="33"/>
      <c r="N15" s="33">
        <f>C37*'E Balans VL '!Y15/100/3.6*1000000</f>
        <v>406.28891951777268</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42885.245080065913</v>
      </c>
      <c r="C18" s="21">
        <f>C5+C16</f>
        <v>0</v>
      </c>
      <c r="D18" s="21">
        <f>MAX((D5+D16),0)</f>
        <v>45176.802237625096</v>
      </c>
      <c r="E18" s="21">
        <f>MAX((E5+E16),0)</f>
        <v>1183.1404048747668</v>
      </c>
      <c r="F18" s="21">
        <f>MAX((F5+F16),0)</f>
        <v>9069.7931704156163</v>
      </c>
      <c r="G18" s="21"/>
      <c r="H18" s="21"/>
      <c r="I18" s="21"/>
      <c r="J18" s="21">
        <f>MAX((J5+J16),0)</f>
        <v>55.783179615559874</v>
      </c>
      <c r="K18" s="21"/>
      <c r="L18" s="21">
        <f>MAX((L5+L16),0)</f>
        <v>0</v>
      </c>
      <c r="M18" s="21"/>
      <c r="N18" s="21">
        <f>MAX((N5+N16),0)</f>
        <v>1185.9278280672593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0.13863213726388085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5945.2731825348683</v>
      </c>
      <c r="C22" s="23">
        <f ca="1">C18*C20</f>
        <v>0</v>
      </c>
      <c r="D22" s="23">
        <f>D18*D20</f>
        <v>9125.7140520002704</v>
      </c>
      <c r="E22" s="23">
        <f>E18*E20</f>
        <v>268.57287190657206</v>
      </c>
      <c r="F22" s="23">
        <f>F18*F20</f>
        <v>2421.6347765009696</v>
      </c>
      <c r="G22" s="23"/>
      <c r="H22" s="23"/>
      <c r="I22" s="23"/>
      <c r="J22" s="23">
        <f>J18*J20</f>
        <v>19.747245583908196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6926.6357592774302</v>
      </c>
      <c r="C30" s="39">
        <f>IF(ISERROR(B30*3.6/1000000/'E Balans VL '!Z18*100),0,B30*3.6/1000000/'E Balans VL '!Z18*100)</f>
        <v>0.40170067246095453</v>
      </c>
      <c r="D30" s="232" t="s">
        <v>700</v>
      </c>
    </row>
    <row r="31" spans="1:18">
      <c r="A31" s="6" t="s">
        <v>32</v>
      </c>
      <c r="B31" s="37">
        <f>IF( ISERROR(IND_ander_ele_kWh/1000),0,IND_ander_ele_kWh/1000)</f>
        <v>7429.2003615898202</v>
      </c>
      <c r="C31" s="39">
        <f>IF(ISERROR(B31*3.6/1000000/'E Balans VL '!Z19*100),0,B31*3.6/1000000/'E Balans VL '!Z19*100)</f>
        <v>0.31027136379524911</v>
      </c>
      <c r="D31" s="232" t="s">
        <v>700</v>
      </c>
    </row>
    <row r="32" spans="1:18">
      <c r="A32" s="167" t="s">
        <v>40</v>
      </c>
      <c r="B32" s="37">
        <f>IF( ISERROR(IND_voed_ele_kWh/1000),0,IND_voed_ele_kWh/1000)</f>
        <v>11594.8896188289</v>
      </c>
      <c r="C32" s="39">
        <f>IF(ISERROR(B32*3.6/1000000/'E Balans VL '!Z20*100),0,B32*3.6/1000000/'E Balans VL '!Z20*100)</f>
        <v>0.35962779082425694</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49.657439931486799</v>
      </c>
      <c r="C35" s="39">
        <f>IF(ISERROR(B35*3.6/1000000/'E Balans VL '!Z22*100),0,B35*3.6/1000000/'E Balans VL '!Z22*100)</f>
        <v>9.2925091034907099E-3</v>
      </c>
      <c r="D35" s="232" t="s">
        <v>700</v>
      </c>
    </row>
    <row r="36" spans="1:5">
      <c r="A36" s="167" t="s">
        <v>33</v>
      </c>
      <c r="B36" s="37">
        <f>IF( ISERROR(IND_chemie_ele_kWh/1000),0,IND_chemie_ele_kWh/1000)</f>
        <v>1046.7745696207799</v>
      </c>
      <c r="C36" s="39">
        <f>IF(ISERROR(B36*3.6/1000000/'E Balans VL '!Z24*100),0,B36*3.6/1000000/'E Balans VL '!Z24*100)</f>
        <v>3.0593168625127211E-2</v>
      </c>
      <c r="D36" s="232" t="s">
        <v>700</v>
      </c>
    </row>
    <row r="37" spans="1:5">
      <c r="A37" s="167" t="s">
        <v>258</v>
      </c>
      <c r="B37" s="37">
        <f>IF( ISERROR(IND_rest_ele_kWh/1000),0,IND_rest_ele_kWh/1000)</f>
        <v>15838.0873308175</v>
      </c>
      <c r="C37" s="39">
        <f>IF(ISERROR(B37*3.6/1000000/'E Balans VL '!Z15*100),0,B37*3.6/1000000/'E Balans VL '!Z15*100)</f>
        <v>0.12348860988602188</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1936.5985894992241</v>
      </c>
      <c r="C5" s="17">
        <f>'Eigen informatie GS &amp; warmtenet'!B60</f>
        <v>0</v>
      </c>
      <c r="D5" s="30">
        <f>IF(ISERROR(SUM(LB_lb_gas_kWh,LB_rest_gas_kWh)/1000),0,SUM(LB_lb_gas_kWh,LB_rest_gas_kWh)/1000)*0.902</f>
        <v>4973.3929683640117</v>
      </c>
      <c r="E5" s="17">
        <f>B17*'E Balans VL '!I25/3.6*1000000/100</f>
        <v>62.848990340912444</v>
      </c>
      <c r="F5" s="17">
        <f>B17*('E Balans VL '!L25/3.6*1000000+'E Balans VL '!N25/3.6*1000000)/100</f>
        <v>7144.4879877013936</v>
      </c>
      <c r="G5" s="18"/>
      <c r="H5" s="17"/>
      <c r="I5" s="17"/>
      <c r="J5" s="17">
        <f>('E Balans VL '!D25+'E Balans VL '!E25)/3.6*1000000*landbouw!B17/100</f>
        <v>509.30540717605925</v>
      </c>
      <c r="K5" s="17"/>
      <c r="L5" s="17">
        <f>L6*(-1)</f>
        <v>0</v>
      </c>
      <c r="M5" s="17"/>
      <c r="N5" s="17">
        <f>N6*(-1)</f>
        <v>49551.428571428572</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-49551.428571428572</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1936.5985894992241</v>
      </c>
      <c r="C8" s="21">
        <f>C5+C6</f>
        <v>0</v>
      </c>
      <c r="D8" s="21">
        <f>MAX((D5+D6),0)</f>
        <v>4973.3929683640117</v>
      </c>
      <c r="E8" s="21">
        <f>MAX((E5+E6),0)</f>
        <v>62.848990340912444</v>
      </c>
      <c r="F8" s="21">
        <f>MAX((F5+F6),0)</f>
        <v>7144.4879877013936</v>
      </c>
      <c r="G8" s="21"/>
      <c r="H8" s="21"/>
      <c r="I8" s="21"/>
      <c r="J8" s="21">
        <f>MAX((J5+J6),0)</f>
        <v>509.30540717605925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0.13863213726388085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268.47480148449449</v>
      </c>
      <c r="C12" s="23">
        <f ca="1">C8*C10</f>
        <v>0</v>
      </c>
      <c r="D12" s="23">
        <f>D8*D10</f>
        <v>1004.6253796095305</v>
      </c>
      <c r="E12" s="23">
        <f>E8*E10</f>
        <v>14.266720807387125</v>
      </c>
      <c r="F12" s="23">
        <f>F8*F10</f>
        <v>1907.5782927162722</v>
      </c>
      <c r="G12" s="23"/>
      <c r="H12" s="23"/>
      <c r="I12" s="23"/>
      <c r="J12" s="23">
        <f>J8*J10</f>
        <v>180.29411414032495</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0.27480941574271861</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498.93433777869541</v>
      </c>
      <c r="C26" s="242">
        <f>B26*'GWP N2O_CH4'!B5</f>
        <v>10477.621093352604</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135.67063357309371</v>
      </c>
      <c r="C27" s="242">
        <f>B27*'GWP N2O_CH4'!B5</f>
        <v>2849.0833050349679</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7.1001213477544649</v>
      </c>
      <c r="C28" s="242">
        <f>B28*'GWP N2O_CH4'!B4</f>
        <v>2201.0376178038841</v>
      </c>
      <c r="D28" s="50"/>
    </row>
    <row r="29" spans="1:4">
      <c r="A29" s="41" t="s">
        <v>265</v>
      </c>
      <c r="B29" s="242">
        <f>B34*'ha_N2O bodem landbouw'!B4</f>
        <v>15.393699688551695</v>
      </c>
      <c r="C29" s="242">
        <f>B29*'GWP N2O_CH4'!B4</f>
        <v>4772.0469034510252</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3.512789219878373E-3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2.0029332195089846E-4</v>
      </c>
      <c r="C5" s="427" t="s">
        <v>204</v>
      </c>
      <c r="D5" s="412">
        <f>SUM(D6:D11)</f>
        <v>3.4183372629185499E-4</v>
      </c>
      <c r="E5" s="412">
        <f>SUM(E6:E11)</f>
        <v>5.9644607213250867E-4</v>
      </c>
      <c r="F5" s="425" t="s">
        <v>204</v>
      </c>
      <c r="G5" s="412">
        <f>SUM(G6:G11)</f>
        <v>0.26884218216928424</v>
      </c>
      <c r="H5" s="412">
        <f>SUM(H6:H11)</f>
        <v>5.9185730627906608E-2</v>
      </c>
      <c r="I5" s="427" t="s">
        <v>204</v>
      </c>
      <c r="J5" s="427" t="s">
        <v>204</v>
      </c>
      <c r="K5" s="427" t="s">
        <v>204</v>
      </c>
      <c r="L5" s="427" t="s">
        <v>204</v>
      </c>
      <c r="M5" s="412">
        <f>SUM(M6:M11)</f>
        <v>1.7449670357590593E-2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1.6019728360345972E-4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2.7067918615530473E-4</v>
      </c>
      <c r="E6" s="818">
        <f>vkm_GW_PW*SUMIFS(TableVerdeelsleutelVkm[LPG],TableVerdeelsleutelVkm[Voertuigtype],"Lichte voertuigen")*SUMIFS(TableECFTransport[EnergieConsumptieFactor (PJ per km)],TableECFTransport[Index],CONCATENATE($A6,"_LPG_LPG"))</f>
        <v>4.7052177567564714E-4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0.14250856715398336</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4.6930685552314118E-2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9.7078073205528002E-3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2.3920044652098525E-6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7.6831759334782534E-2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1.5328640076591087E-6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4.4889455490213816E-3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2.5362422503162866E-5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5.4866150723849112E-5</v>
      </c>
      <c r="E8" s="415">
        <f>vkm_NGW_PW*SUMIFS(TableVerdeelsleutelVkm[LPG],TableVerdeelsleutelVkm[Voertuigtype],"Lichte voertuigen")*SUMIFS(TableECFTransport[EnergieConsumptieFactor (PJ per km)],TableECFTransport[Index],CONCATENATE($A8,"_LPG_LPG"))</f>
        <v>9.104974977773083E-5</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2.5754269371564095E-2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9.293215846307594E-3</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1.7783060786717487E-3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6.0189844805635736E-8</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2.4805676867142227E-3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4.6556605800977041E-8</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1.4492869534754173E-4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1.1898404263002668E-5</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1.6288389412701111E-5</v>
      </c>
      <c r="E10" s="415">
        <f>vkm_SW_PW*SUMIFS(TableVerdeelsleutelVkm[LPG],TableVerdeelsleutelVkm[Voertuigtype],"Lichte voertuigen")*SUMIFS(TableECFTransport[EnergieConsumptieFactor (PJ per km)],TableECFTransport[Index],CONCATENATE($A10,"_LPG_LPG"))</f>
        <v>3.4874546679130687E-5</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9.5489884273369033E-3</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2.9599971754627158E-3</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6.4504861766284899E-4</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3.8301727125770485E-7</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1.1718030194903082E-2</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2.5263320872180638E-7</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6.8463409633426993E-4</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55.637033875249578</v>
      </c>
      <c r="C14" s="21"/>
      <c r="D14" s="21">
        <f t="shared" ref="D14:M14" si="0">((D5)*10^9/3600)+D12</f>
        <v>94.953812858848607</v>
      </c>
      <c r="E14" s="21">
        <f t="shared" si="0"/>
        <v>165.67946448125238</v>
      </c>
      <c r="F14" s="21"/>
      <c r="G14" s="21">
        <f t="shared" si="0"/>
        <v>74678.383935912279</v>
      </c>
      <c r="H14" s="21">
        <f t="shared" si="0"/>
        <v>16440.480729974057</v>
      </c>
      <c r="I14" s="21"/>
      <c r="J14" s="21"/>
      <c r="K14" s="21"/>
      <c r="L14" s="21"/>
      <c r="M14" s="21">
        <f t="shared" si="0"/>
        <v>4847.1306548862758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0.13863213726388085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7.7130809171487886</v>
      </c>
      <c r="C18" s="23"/>
      <c r="D18" s="23">
        <f t="shared" ref="D18:M18" si="1">D14*D16</f>
        <v>19.180670197487419</v>
      </c>
      <c r="E18" s="23">
        <f t="shared" si="1"/>
        <v>37.609238437244294</v>
      </c>
      <c r="F18" s="23"/>
      <c r="G18" s="23">
        <f t="shared" si="1"/>
        <v>19939.128510888579</v>
      </c>
      <c r="H18" s="23">
        <f t="shared" si="1"/>
        <v>4093.6797017635399</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1.0247208120445445E-4</v>
      </c>
      <c r="C50" s="311">
        <f t="shared" ref="C50:P50" si="2">SUM(C51:C52)</f>
        <v>0</v>
      </c>
      <c r="D50" s="311">
        <f t="shared" si="2"/>
        <v>0</v>
      </c>
      <c r="E50" s="311">
        <f t="shared" si="2"/>
        <v>0</v>
      </c>
      <c r="F50" s="311">
        <f t="shared" si="2"/>
        <v>0</v>
      </c>
      <c r="G50" s="311">
        <f t="shared" si="2"/>
        <v>9.6262350798949521E-3</v>
      </c>
      <c r="H50" s="311">
        <f t="shared" si="2"/>
        <v>0</v>
      </c>
      <c r="I50" s="311">
        <f t="shared" si="2"/>
        <v>0</v>
      </c>
      <c r="J50" s="311">
        <f t="shared" si="2"/>
        <v>0</v>
      </c>
      <c r="K50" s="311">
        <f t="shared" si="2"/>
        <v>0</v>
      </c>
      <c r="L50" s="311">
        <f t="shared" si="2"/>
        <v>0</v>
      </c>
      <c r="M50" s="311">
        <f t="shared" si="2"/>
        <v>5.5434597562911594E-4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1.0247208120445445E-4</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9.6262350798949521E-3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5.5434597562911594E-4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28.464467001237345</v>
      </c>
      <c r="C54" s="21">
        <f t="shared" ref="C54:P54" si="3">(C50)*10^9/3600</f>
        <v>0</v>
      </c>
      <c r="D54" s="21">
        <f t="shared" si="3"/>
        <v>0</v>
      </c>
      <c r="E54" s="21">
        <f t="shared" si="3"/>
        <v>0</v>
      </c>
      <c r="F54" s="21">
        <f t="shared" si="3"/>
        <v>0</v>
      </c>
      <c r="G54" s="21">
        <f t="shared" si="3"/>
        <v>2673.9541888597091</v>
      </c>
      <c r="H54" s="21">
        <f t="shared" si="3"/>
        <v>0</v>
      </c>
      <c r="I54" s="21">
        <f t="shared" si="3"/>
        <v>0</v>
      </c>
      <c r="J54" s="21">
        <f t="shared" si="3"/>
        <v>0</v>
      </c>
      <c r="K54" s="21">
        <f t="shared" si="3"/>
        <v>0</v>
      </c>
      <c r="L54" s="21">
        <f t="shared" si="3"/>
        <v>0</v>
      </c>
      <c r="M54" s="21">
        <f t="shared" si="3"/>
        <v>153.98499323030998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0.13863213726388085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3.9460898964587425</v>
      </c>
      <c r="C58" s="23">
        <f t="shared" ref="C58:P58" ca="1" si="4">C54*C56</f>
        <v>0</v>
      </c>
      <c r="D58" s="23">
        <f t="shared" si="4"/>
        <v>0</v>
      </c>
      <c r="E58" s="23">
        <f t="shared" si="4"/>
        <v>0</v>
      </c>
      <c r="F58" s="23">
        <f t="shared" si="4"/>
        <v>0</v>
      </c>
      <c r="G58" s="23">
        <f t="shared" si="4"/>
        <v>713.94576842554238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7997.9847437160261</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15961.5</v>
      </c>
      <c r="C8" s="534">
        <f>B48</f>
        <v>0</v>
      </c>
      <c r="D8" s="962"/>
      <c r="E8" s="962">
        <f>E48</f>
        <v>0</v>
      </c>
      <c r="F8" s="963"/>
      <c r="G8" s="535"/>
      <c r="H8" s="962">
        <f>I48</f>
        <v>0</v>
      </c>
      <c r="I8" s="962">
        <f>G48+F48</f>
        <v>0</v>
      </c>
      <c r="J8" s="962">
        <f>H48+D48+C48</f>
        <v>18778.23529411765</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17343</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49551.428571428572</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41302.484743716028</v>
      </c>
      <c r="C10" s="547">
        <f t="shared" ref="C10:L10" si="0">SUM(C8:C9)</f>
        <v>0</v>
      </c>
      <c r="D10" s="547">
        <f t="shared" si="0"/>
        <v>0</v>
      </c>
      <c r="E10" s="547">
        <f t="shared" si="0"/>
        <v>0</v>
      </c>
      <c r="F10" s="547">
        <f t="shared" si="0"/>
        <v>0</v>
      </c>
      <c r="G10" s="547">
        <f t="shared" si="0"/>
        <v>0</v>
      </c>
      <c r="H10" s="547">
        <f t="shared" si="0"/>
        <v>0</v>
      </c>
      <c r="I10" s="547">
        <f t="shared" si="0"/>
        <v>0</v>
      </c>
      <c r="J10" s="547">
        <f t="shared" si="0"/>
        <v>68329.66386554623</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22802.142857142859</v>
      </c>
      <c r="C17" s="559">
        <f>B49</f>
        <v>0</v>
      </c>
      <c r="D17" s="560"/>
      <c r="E17" s="560">
        <f>E49</f>
        <v>0</v>
      </c>
      <c r="F17" s="968"/>
      <c r="G17" s="561"/>
      <c r="H17" s="559">
        <f>I49</f>
        <v>0</v>
      </c>
      <c r="I17" s="560">
        <f>G49+F49</f>
        <v>0</v>
      </c>
      <c r="J17" s="560">
        <f>H49+D49+C49</f>
        <v>26826.050420168071</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22802.142857142859</v>
      </c>
      <c r="C20" s="546">
        <f>SUM(C17:C19)</f>
        <v>0</v>
      </c>
      <c r="D20" s="546">
        <f t="shared" ref="D20:L20" si="1">SUM(D17:D19)</f>
        <v>0</v>
      </c>
      <c r="E20" s="546">
        <f t="shared" si="1"/>
        <v>0</v>
      </c>
      <c r="F20" s="546">
        <f t="shared" si="1"/>
        <v>0</v>
      </c>
      <c r="G20" s="546">
        <f t="shared" si="1"/>
        <v>0</v>
      </c>
      <c r="H20" s="546">
        <f t="shared" si="1"/>
        <v>0</v>
      </c>
      <c r="I20" s="546">
        <f t="shared" si="1"/>
        <v>0</v>
      </c>
      <c r="J20" s="546">
        <f t="shared" si="1"/>
        <v>26826.050420168071</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63.75" hidden="1">
      <c r="A28" s="569"/>
      <c r="B28" s="724">
        <v>11057</v>
      </c>
      <c r="C28" s="724">
        <v>2390</v>
      </c>
      <c r="D28" s="617"/>
      <c r="E28" s="616"/>
      <c r="F28" s="616"/>
      <c r="G28" s="616" t="s">
        <v>878</v>
      </c>
      <c r="H28" s="616" t="s">
        <v>879</v>
      </c>
      <c r="I28" s="616"/>
      <c r="J28" s="723"/>
      <c r="K28" s="723"/>
      <c r="L28" s="616" t="s">
        <v>880</v>
      </c>
      <c r="M28" s="616">
        <v>3547</v>
      </c>
      <c r="N28" s="616">
        <v>15961.5</v>
      </c>
      <c r="O28" s="616">
        <v>22802.142857142859</v>
      </c>
      <c r="P28" s="616">
        <v>0</v>
      </c>
      <c r="Q28" s="616">
        <v>45604.285714285717</v>
      </c>
      <c r="R28" s="616">
        <v>0</v>
      </c>
      <c r="S28" s="616">
        <v>0</v>
      </c>
      <c r="T28" s="616">
        <v>0</v>
      </c>
      <c r="U28" s="616">
        <v>0</v>
      </c>
      <c r="V28" s="616">
        <v>0</v>
      </c>
      <c r="W28" s="616">
        <v>0</v>
      </c>
      <c r="X28" s="616"/>
      <c r="Y28" s="616">
        <v>1600</v>
      </c>
      <c r="Z28" s="616" t="s">
        <v>49</v>
      </c>
      <c r="AA28" s="618" t="s">
        <v>149</v>
      </c>
    </row>
    <row r="29" spans="1:27" s="554" customFormat="1" hidden="1">
      <c r="A29" s="572" t="s">
        <v>268</v>
      </c>
      <c r="B29" s="573"/>
      <c r="C29" s="573"/>
      <c r="D29" s="573"/>
      <c r="E29" s="573"/>
      <c r="F29" s="573"/>
      <c r="G29" s="573"/>
      <c r="H29" s="573"/>
      <c r="I29" s="573"/>
      <c r="J29" s="573"/>
      <c r="K29" s="573"/>
      <c r="L29" s="574"/>
      <c r="M29" s="574">
        <f>SUM(M28:M28)</f>
        <v>3547</v>
      </c>
      <c r="N29" s="574">
        <f>SUM(N28:N28)</f>
        <v>15961.5</v>
      </c>
      <c r="O29" s="574">
        <f>SUM(O28:O28)</f>
        <v>22802.142857142859</v>
      </c>
      <c r="P29" s="574">
        <f>SUM(P28:P28)</f>
        <v>0</v>
      </c>
      <c r="Q29" s="574">
        <f>SUM(Q28:Q28)</f>
        <v>45604.285714285717</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3547</v>
      </c>
      <c r="N31" s="574">
        <f ca="1">SUMIF($AA$28:AE28,"tertiair",N28:N28)</f>
        <v>15961.5</v>
      </c>
      <c r="O31" s="574">
        <f ca="1">SUMIF($AA$28:AF28,"tertiair",O28:O28)</f>
        <v>22802.142857142859</v>
      </c>
      <c r="P31" s="574">
        <f ca="1">SUMIF($AA$28:AG28,"tertiair",P28:P28)</f>
        <v>0</v>
      </c>
      <c r="Q31" s="574">
        <f ca="1">SUMIF($AA$28:AH28,"tertiair",Q28:Q28)</f>
        <v>45604.285714285717</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38.25" hidden="1">
      <c r="A35" s="571"/>
      <c r="B35" s="724">
        <v>11057</v>
      </c>
      <c r="C35" s="724">
        <v>2390</v>
      </c>
      <c r="D35" s="619"/>
      <c r="E35" s="619"/>
      <c r="F35" s="619"/>
      <c r="G35" s="619" t="s">
        <v>881</v>
      </c>
      <c r="H35" s="619" t="s">
        <v>882</v>
      </c>
      <c r="I35" s="619"/>
      <c r="J35" s="723"/>
      <c r="K35" s="723"/>
      <c r="L35" s="619" t="s">
        <v>883</v>
      </c>
      <c r="M35" s="619">
        <v>3854</v>
      </c>
      <c r="N35" s="619">
        <v>17343</v>
      </c>
      <c r="O35" s="619">
        <v>0</v>
      </c>
      <c r="P35" s="619">
        <v>0</v>
      </c>
      <c r="Q35" s="619">
        <v>49551.428571428572</v>
      </c>
      <c r="R35" s="619">
        <v>0</v>
      </c>
      <c r="S35" s="619">
        <v>0</v>
      </c>
      <c r="T35" s="619">
        <v>0</v>
      </c>
      <c r="U35" s="619">
        <v>0</v>
      </c>
      <c r="V35" s="619">
        <v>0</v>
      </c>
      <c r="W35" s="619">
        <v>0</v>
      </c>
      <c r="X35" s="619"/>
      <c r="Y35" s="619">
        <v>10</v>
      </c>
      <c r="Z35" s="619" t="s">
        <v>105</v>
      </c>
      <c r="AA35" s="620" t="s">
        <v>105</v>
      </c>
    </row>
    <row r="36" spans="1:28" s="554" customFormat="1" hidden="1">
      <c r="A36" s="572" t="s">
        <v>268</v>
      </c>
      <c r="B36" s="573"/>
      <c r="C36" s="573"/>
      <c r="D36" s="573"/>
      <c r="E36" s="573"/>
      <c r="F36" s="573"/>
      <c r="G36" s="573"/>
      <c r="H36" s="573"/>
      <c r="I36" s="573"/>
      <c r="J36" s="573"/>
      <c r="K36" s="573"/>
      <c r="L36" s="574"/>
      <c r="M36" s="574">
        <f>SUM(M35:M35)</f>
        <v>3854</v>
      </c>
      <c r="N36" s="574">
        <f>SUM(N35:N35)</f>
        <v>17343</v>
      </c>
      <c r="O36" s="574">
        <f>SUM(O35:O35)</f>
        <v>0</v>
      </c>
      <c r="P36" s="574">
        <f>SUM(P35:P35)</f>
        <v>0</v>
      </c>
      <c r="Q36" s="574">
        <f>SUM(Q35:Q35)</f>
        <v>49551.428571428572</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3854</v>
      </c>
      <c r="N39" s="579">
        <f>SUMIF($AA$35:$AA$37,"landbouw",N35:N37)</f>
        <v>17343</v>
      </c>
      <c r="O39" s="579">
        <f>SUMIF($AA$35:$AA$37,"landbouw",O35:O37)</f>
        <v>0</v>
      </c>
      <c r="P39" s="579">
        <f>SUMIF($AA$35:$AA$37,"landbouw",P35:P37)</f>
        <v>0</v>
      </c>
      <c r="Q39" s="579">
        <f>SUMIF($AA$35:$AA$37,"landbouw",Q35:Q37)</f>
        <v>49551.428571428572</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0.58823529411764708</v>
      </c>
      <c r="C45" s="599">
        <f>IF(ISERROR(N29/(O29+N29)),0,N29/(N29+O29))</f>
        <v>0.41176470588235298</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18778.23529411765</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26826.050420168071</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37047.809452964357</v>
      </c>
      <c r="D10" s="931">
        <f ca="1">tertiair!C16</f>
        <v>22802.142857142859</v>
      </c>
      <c r="E10" s="931">
        <f ca="1">tertiair!D16</f>
        <v>40054.093103330415</v>
      </c>
      <c r="F10" s="931">
        <f>tertiair!E16</f>
        <v>315.20798900686339</v>
      </c>
      <c r="G10" s="931">
        <f ca="1">tertiair!F16</f>
        <v>3733.0068151797914</v>
      </c>
      <c r="H10" s="931">
        <f>tertiair!G16</f>
        <v>0</v>
      </c>
      <c r="I10" s="931">
        <f>tertiair!H16</f>
        <v>0</v>
      </c>
      <c r="J10" s="931">
        <f>tertiair!I16</f>
        <v>0</v>
      </c>
      <c r="K10" s="931">
        <f>tertiair!J16</f>
        <v>3.141876799922131E-2</v>
      </c>
      <c r="L10" s="931">
        <f>tertiair!K16</f>
        <v>0</v>
      </c>
      <c r="M10" s="931">
        <f ca="1">tertiair!L16</f>
        <v>0</v>
      </c>
      <c r="N10" s="931">
        <f>tertiair!M16</f>
        <v>0</v>
      </c>
      <c r="O10" s="931">
        <f ca="1">tertiair!N16</f>
        <v>0</v>
      </c>
      <c r="P10" s="931">
        <f>tertiair!O16</f>
        <v>4.6900000000000004</v>
      </c>
      <c r="Q10" s="932">
        <f>tertiair!P16</f>
        <v>76.266666666666666</v>
      </c>
      <c r="R10" s="628">
        <f ca="1">SUM(C10:Q10)</f>
        <v>104033.24830305894</v>
      </c>
      <c r="S10" s="67"/>
    </row>
    <row r="11" spans="1:19" s="437" customFormat="1">
      <c r="A11" s="736" t="s">
        <v>213</v>
      </c>
      <c r="B11" s="741"/>
      <c r="C11" s="931">
        <f>huishoudens!B8</f>
        <v>27251.203165793391</v>
      </c>
      <c r="D11" s="931">
        <f>huishoudens!C8</f>
        <v>0</v>
      </c>
      <c r="E11" s="931">
        <f>huishoudens!D8</f>
        <v>74351.093185580219</v>
      </c>
      <c r="F11" s="931">
        <f>huishoudens!E8</f>
        <v>1008.4311347478608</v>
      </c>
      <c r="G11" s="931">
        <f>huishoudens!F8</f>
        <v>23374.649127695255</v>
      </c>
      <c r="H11" s="931">
        <f>huishoudens!G8</f>
        <v>0</v>
      </c>
      <c r="I11" s="931">
        <f>huishoudens!H8</f>
        <v>0</v>
      </c>
      <c r="J11" s="931">
        <f>huishoudens!I8</f>
        <v>0</v>
      </c>
      <c r="K11" s="931">
        <f>huishoudens!J8</f>
        <v>120.12510674020184</v>
      </c>
      <c r="L11" s="931">
        <f>huishoudens!K8</f>
        <v>0</v>
      </c>
      <c r="M11" s="931">
        <f>huishoudens!L8</f>
        <v>0</v>
      </c>
      <c r="N11" s="931">
        <f>huishoudens!M8</f>
        <v>0</v>
      </c>
      <c r="O11" s="931">
        <f>huishoudens!N8</f>
        <v>7958.9822768500972</v>
      </c>
      <c r="P11" s="931">
        <f>huishoudens!O8</f>
        <v>198.54333333333332</v>
      </c>
      <c r="Q11" s="932">
        <f>huishoudens!P8</f>
        <v>1048.6666666666667</v>
      </c>
      <c r="R11" s="628">
        <f>SUM(C11:Q11)</f>
        <v>135311.69399740701</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42885.245080065913</v>
      </c>
      <c r="D13" s="931">
        <f>industrie!C18</f>
        <v>0</v>
      </c>
      <c r="E13" s="931">
        <f>industrie!D18</f>
        <v>45176.802237625096</v>
      </c>
      <c r="F13" s="931">
        <f>industrie!E18</f>
        <v>1183.1404048747668</v>
      </c>
      <c r="G13" s="931">
        <f>industrie!F18</f>
        <v>9069.7931704156163</v>
      </c>
      <c r="H13" s="931">
        <f>industrie!G18</f>
        <v>0</v>
      </c>
      <c r="I13" s="931">
        <f>industrie!H18</f>
        <v>0</v>
      </c>
      <c r="J13" s="931">
        <f>industrie!I18</f>
        <v>0</v>
      </c>
      <c r="K13" s="931">
        <f>industrie!J18</f>
        <v>55.783179615559874</v>
      </c>
      <c r="L13" s="931">
        <f>industrie!K18</f>
        <v>0</v>
      </c>
      <c r="M13" s="931">
        <f>industrie!L18</f>
        <v>0</v>
      </c>
      <c r="N13" s="931">
        <f>industrie!M18</f>
        <v>0</v>
      </c>
      <c r="O13" s="931">
        <f>industrie!N18</f>
        <v>1185.9278280672593</v>
      </c>
      <c r="P13" s="931">
        <f>industrie!O18</f>
        <v>0</v>
      </c>
      <c r="Q13" s="932">
        <f>industrie!P18</f>
        <v>0</v>
      </c>
      <c r="R13" s="628">
        <f>SUM(C13:Q13)</f>
        <v>99556.691900664213</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107184.25769882367</v>
      </c>
      <c r="D16" s="660">
        <f t="shared" ref="D16:R16" ca="1" si="0">SUM(D9:D15)</f>
        <v>22802.142857142859</v>
      </c>
      <c r="E16" s="660">
        <f t="shared" ca="1" si="0"/>
        <v>159581.98852653572</v>
      </c>
      <c r="F16" s="660">
        <f t="shared" si="0"/>
        <v>2506.7795286294909</v>
      </c>
      <c r="G16" s="660">
        <f t="shared" ca="1" si="0"/>
        <v>36177.449113290662</v>
      </c>
      <c r="H16" s="660">
        <f t="shared" si="0"/>
        <v>0</v>
      </c>
      <c r="I16" s="660">
        <f t="shared" si="0"/>
        <v>0</v>
      </c>
      <c r="J16" s="660">
        <f t="shared" si="0"/>
        <v>0</v>
      </c>
      <c r="K16" s="660">
        <f t="shared" si="0"/>
        <v>175.93970512376094</v>
      </c>
      <c r="L16" s="660">
        <f t="shared" si="0"/>
        <v>0</v>
      </c>
      <c r="M16" s="660">
        <f t="shared" ca="1" si="0"/>
        <v>0</v>
      </c>
      <c r="N16" s="660">
        <f t="shared" si="0"/>
        <v>0</v>
      </c>
      <c r="O16" s="660">
        <f t="shared" ca="1" si="0"/>
        <v>9144.9101049173569</v>
      </c>
      <c r="P16" s="660">
        <f t="shared" si="0"/>
        <v>203.23333333333332</v>
      </c>
      <c r="Q16" s="660">
        <f t="shared" si="0"/>
        <v>1124.9333333333334</v>
      </c>
      <c r="R16" s="660">
        <f t="shared" ca="1" si="0"/>
        <v>338901.63420113013</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28.464467001237345</v>
      </c>
      <c r="D19" s="931">
        <f>transport!C54</f>
        <v>0</v>
      </c>
      <c r="E19" s="931">
        <f>transport!D54</f>
        <v>0</v>
      </c>
      <c r="F19" s="931">
        <f>transport!E54</f>
        <v>0</v>
      </c>
      <c r="G19" s="931">
        <f>transport!F54</f>
        <v>0</v>
      </c>
      <c r="H19" s="931">
        <f>transport!G54</f>
        <v>2673.9541888597091</v>
      </c>
      <c r="I19" s="931">
        <f>transport!H54</f>
        <v>0</v>
      </c>
      <c r="J19" s="931">
        <f>transport!I54</f>
        <v>0</v>
      </c>
      <c r="K19" s="931">
        <f>transport!J54</f>
        <v>0</v>
      </c>
      <c r="L19" s="931">
        <f>transport!K54</f>
        <v>0</v>
      </c>
      <c r="M19" s="931">
        <f>transport!L54</f>
        <v>0</v>
      </c>
      <c r="N19" s="931">
        <f>transport!M54</f>
        <v>153.98499323030998</v>
      </c>
      <c r="O19" s="931">
        <f>transport!N54</f>
        <v>0</v>
      </c>
      <c r="P19" s="931">
        <f>transport!O54</f>
        <v>0</v>
      </c>
      <c r="Q19" s="932">
        <f>transport!P54</f>
        <v>0</v>
      </c>
      <c r="R19" s="628">
        <f>SUM(C19:Q19)</f>
        <v>2856.4036490912563</v>
      </c>
      <c r="S19" s="67"/>
    </row>
    <row r="20" spans="1:19" s="437" customFormat="1">
      <c r="A20" s="736" t="s">
        <v>295</v>
      </c>
      <c r="B20" s="741"/>
      <c r="C20" s="931">
        <f>transport!B14</f>
        <v>55.637033875249578</v>
      </c>
      <c r="D20" s="931">
        <f>transport!C14</f>
        <v>0</v>
      </c>
      <c r="E20" s="931">
        <f>transport!D14</f>
        <v>94.953812858848607</v>
      </c>
      <c r="F20" s="931">
        <f>transport!E14</f>
        <v>165.67946448125238</v>
      </c>
      <c r="G20" s="931">
        <f>transport!F14</f>
        <v>0</v>
      </c>
      <c r="H20" s="931">
        <f>transport!G14</f>
        <v>74678.383935912279</v>
      </c>
      <c r="I20" s="931">
        <f>transport!H14</f>
        <v>16440.480729974057</v>
      </c>
      <c r="J20" s="931">
        <f>transport!I14</f>
        <v>0</v>
      </c>
      <c r="K20" s="931">
        <f>transport!J14</f>
        <v>0</v>
      </c>
      <c r="L20" s="931">
        <f>transport!K14</f>
        <v>0</v>
      </c>
      <c r="M20" s="931">
        <f>transport!L14</f>
        <v>0</v>
      </c>
      <c r="N20" s="931">
        <f>transport!M14</f>
        <v>4847.1306548862758</v>
      </c>
      <c r="O20" s="931">
        <f>transport!N14</f>
        <v>0</v>
      </c>
      <c r="P20" s="931">
        <f>transport!O14</f>
        <v>0</v>
      </c>
      <c r="Q20" s="932">
        <f>transport!P14</f>
        <v>0</v>
      </c>
      <c r="R20" s="628">
        <f>SUM(C20:Q20)</f>
        <v>96282.265631987975</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84.101500876486924</v>
      </c>
      <c r="D22" s="739">
        <f t="shared" ref="D22:R22" si="1">SUM(D18:D21)</f>
        <v>0</v>
      </c>
      <c r="E22" s="739">
        <f t="shared" si="1"/>
        <v>94.953812858848607</v>
      </c>
      <c r="F22" s="739">
        <f t="shared" si="1"/>
        <v>165.67946448125238</v>
      </c>
      <c r="G22" s="739">
        <f t="shared" si="1"/>
        <v>0</v>
      </c>
      <c r="H22" s="739">
        <f t="shared" si="1"/>
        <v>77352.338124771995</v>
      </c>
      <c r="I22" s="739">
        <f t="shared" si="1"/>
        <v>16440.480729974057</v>
      </c>
      <c r="J22" s="739">
        <f t="shared" si="1"/>
        <v>0</v>
      </c>
      <c r="K22" s="739">
        <f t="shared" si="1"/>
        <v>0</v>
      </c>
      <c r="L22" s="739">
        <f t="shared" si="1"/>
        <v>0</v>
      </c>
      <c r="M22" s="739">
        <f t="shared" si="1"/>
        <v>0</v>
      </c>
      <c r="N22" s="739">
        <f t="shared" si="1"/>
        <v>5001.1156481165854</v>
      </c>
      <c r="O22" s="739">
        <f t="shared" si="1"/>
        <v>0</v>
      </c>
      <c r="P22" s="739">
        <f t="shared" si="1"/>
        <v>0</v>
      </c>
      <c r="Q22" s="739">
        <f t="shared" si="1"/>
        <v>0</v>
      </c>
      <c r="R22" s="739">
        <f t="shared" si="1"/>
        <v>99138.66928107923</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1936.5985894992241</v>
      </c>
      <c r="D24" s="931">
        <f>+landbouw!C8</f>
        <v>0</v>
      </c>
      <c r="E24" s="931">
        <f>+landbouw!D8</f>
        <v>4973.3929683640117</v>
      </c>
      <c r="F24" s="931">
        <f>+landbouw!E8</f>
        <v>62.848990340912444</v>
      </c>
      <c r="G24" s="931">
        <f>+landbouw!F8</f>
        <v>7144.4879877013936</v>
      </c>
      <c r="H24" s="931">
        <f>+landbouw!G8</f>
        <v>0</v>
      </c>
      <c r="I24" s="931">
        <f>+landbouw!H8</f>
        <v>0</v>
      </c>
      <c r="J24" s="931">
        <f>+landbouw!I8</f>
        <v>0</v>
      </c>
      <c r="K24" s="931">
        <f>+landbouw!J8</f>
        <v>509.30540717605925</v>
      </c>
      <c r="L24" s="931">
        <f>+landbouw!K8</f>
        <v>0</v>
      </c>
      <c r="M24" s="931">
        <f>+landbouw!L8</f>
        <v>0</v>
      </c>
      <c r="N24" s="931">
        <f>+landbouw!M8</f>
        <v>0</v>
      </c>
      <c r="O24" s="931">
        <f>+landbouw!N8</f>
        <v>0</v>
      </c>
      <c r="P24" s="931">
        <f>+landbouw!O8</f>
        <v>0</v>
      </c>
      <c r="Q24" s="932">
        <f>+landbouw!P8</f>
        <v>0</v>
      </c>
      <c r="R24" s="628">
        <f>SUM(C24:Q24)</f>
        <v>14626.633943081601</v>
      </c>
      <c r="S24" s="67"/>
    </row>
    <row r="25" spans="1:19" s="437" customFormat="1" ht="15" thickBot="1">
      <c r="A25" s="758" t="s">
        <v>775</v>
      </c>
      <c r="B25" s="934"/>
      <c r="C25" s="935">
        <f>IF(Onbekend_ele_kWh="---",0,Onbekend_ele_kWh)/1000+IF(REST_rest_ele_kWh="---",0,REST_rest_ele_kWh)/1000</f>
        <v>1613.1310278434198</v>
      </c>
      <c r="D25" s="935"/>
      <c r="E25" s="935">
        <f>IF(onbekend_gas_kWh="---",0,onbekend_gas_kWh)/1000+IF(REST_rest_gas_kWh="---",0,REST_rest_gas_kWh)/1000</f>
        <v>2021.1730606426001</v>
      </c>
      <c r="F25" s="935"/>
      <c r="G25" s="935"/>
      <c r="H25" s="935"/>
      <c r="I25" s="935"/>
      <c r="J25" s="935"/>
      <c r="K25" s="935"/>
      <c r="L25" s="935"/>
      <c r="M25" s="935"/>
      <c r="N25" s="935"/>
      <c r="O25" s="935"/>
      <c r="P25" s="935"/>
      <c r="Q25" s="936"/>
      <c r="R25" s="628">
        <f>SUM(C25:Q25)</f>
        <v>3634.3040884860202</v>
      </c>
      <c r="S25" s="67"/>
    </row>
    <row r="26" spans="1:19" s="437" customFormat="1" ht="15.75" thickBot="1">
      <c r="A26" s="633" t="s">
        <v>776</v>
      </c>
      <c r="B26" s="744"/>
      <c r="C26" s="739">
        <f>SUM(C24:C25)</f>
        <v>3549.7296173426439</v>
      </c>
      <c r="D26" s="739">
        <f t="shared" ref="D26:R26" si="2">SUM(D24:D25)</f>
        <v>0</v>
      </c>
      <c r="E26" s="739">
        <f t="shared" si="2"/>
        <v>6994.5660290066116</v>
      </c>
      <c r="F26" s="739">
        <f t="shared" si="2"/>
        <v>62.848990340912444</v>
      </c>
      <c r="G26" s="739">
        <f t="shared" si="2"/>
        <v>7144.4879877013936</v>
      </c>
      <c r="H26" s="739">
        <f t="shared" si="2"/>
        <v>0</v>
      </c>
      <c r="I26" s="739">
        <f t="shared" si="2"/>
        <v>0</v>
      </c>
      <c r="J26" s="739">
        <f t="shared" si="2"/>
        <v>0</v>
      </c>
      <c r="K26" s="739">
        <f t="shared" si="2"/>
        <v>509.30540717605925</v>
      </c>
      <c r="L26" s="739">
        <f t="shared" si="2"/>
        <v>0</v>
      </c>
      <c r="M26" s="739">
        <f t="shared" si="2"/>
        <v>0</v>
      </c>
      <c r="N26" s="739">
        <f t="shared" si="2"/>
        <v>0</v>
      </c>
      <c r="O26" s="739">
        <f t="shared" si="2"/>
        <v>0</v>
      </c>
      <c r="P26" s="739">
        <f t="shared" si="2"/>
        <v>0</v>
      </c>
      <c r="Q26" s="739">
        <f t="shared" si="2"/>
        <v>0</v>
      </c>
      <c r="R26" s="739">
        <f t="shared" si="2"/>
        <v>18260.938031567621</v>
      </c>
      <c r="S26" s="67"/>
    </row>
    <row r="27" spans="1:19" s="437" customFormat="1" ht="17.25" thickTop="1" thickBot="1">
      <c r="A27" s="634" t="s">
        <v>109</v>
      </c>
      <c r="B27" s="732"/>
      <c r="C27" s="635">
        <f ca="1">C22+C16+C26</f>
        <v>110818.08881704279</v>
      </c>
      <c r="D27" s="635">
        <f t="shared" ref="D27:R27" ca="1" si="3">D22+D16+D26</f>
        <v>22802.142857142859</v>
      </c>
      <c r="E27" s="635">
        <f t="shared" ca="1" si="3"/>
        <v>166671.50836840118</v>
      </c>
      <c r="F27" s="635">
        <f t="shared" si="3"/>
        <v>2735.3079834516557</v>
      </c>
      <c r="G27" s="635">
        <f t="shared" ca="1" si="3"/>
        <v>43321.937100992058</v>
      </c>
      <c r="H27" s="635">
        <f t="shared" si="3"/>
        <v>77352.338124771995</v>
      </c>
      <c r="I27" s="635">
        <f t="shared" si="3"/>
        <v>16440.480729974057</v>
      </c>
      <c r="J27" s="635">
        <f t="shared" si="3"/>
        <v>0</v>
      </c>
      <c r="K27" s="635">
        <f t="shared" si="3"/>
        <v>685.24511229982022</v>
      </c>
      <c r="L27" s="635">
        <f t="shared" si="3"/>
        <v>0</v>
      </c>
      <c r="M27" s="635">
        <f t="shared" ca="1" si="3"/>
        <v>0</v>
      </c>
      <c r="N27" s="635">
        <f t="shared" si="3"/>
        <v>5001.1156481165854</v>
      </c>
      <c r="O27" s="635">
        <f t="shared" ca="1" si="3"/>
        <v>9144.9101049173569</v>
      </c>
      <c r="P27" s="635">
        <f t="shared" si="3"/>
        <v>203.23333333333332</v>
      </c>
      <c r="Q27" s="635">
        <f t="shared" si="3"/>
        <v>1124.9333333333334</v>
      </c>
      <c r="R27" s="635">
        <f t="shared" ca="1" si="3"/>
        <v>456301.24151377694</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5136.0170054094579</v>
      </c>
      <c r="D40" s="931">
        <f ca="1">tertiair!C20</f>
        <v>0</v>
      </c>
      <c r="E40" s="931">
        <f ca="1">tertiair!D20</f>
        <v>8090.9268068727442</v>
      </c>
      <c r="F40" s="931">
        <f>tertiair!E20</f>
        <v>71.552213504557997</v>
      </c>
      <c r="G40" s="931">
        <f ca="1">tertiair!F20</f>
        <v>996.71281965300432</v>
      </c>
      <c r="H40" s="931">
        <f>tertiair!G20</f>
        <v>0</v>
      </c>
      <c r="I40" s="931">
        <f>tertiair!H20</f>
        <v>0</v>
      </c>
      <c r="J40" s="931">
        <f>tertiair!I20</f>
        <v>0</v>
      </c>
      <c r="K40" s="931">
        <f>tertiair!J20</f>
        <v>1.1122243871724342E-2</v>
      </c>
      <c r="L40" s="931">
        <f>tertiair!K20</f>
        <v>0</v>
      </c>
      <c r="M40" s="931">
        <f ca="1">tertiair!L20</f>
        <v>0</v>
      </c>
      <c r="N40" s="931">
        <f>tertiair!M20</f>
        <v>0</v>
      </c>
      <c r="O40" s="931">
        <f ca="1">tertiair!N20</f>
        <v>0</v>
      </c>
      <c r="P40" s="931">
        <f>tertiair!O20</f>
        <v>0</v>
      </c>
      <c r="Q40" s="702">
        <f>tertiair!P20</f>
        <v>0</v>
      </c>
      <c r="R40" s="777">
        <f t="shared" ca="1" si="4"/>
        <v>14295.219967683637</v>
      </c>
    </row>
    <row r="41" spans="1:18">
      <c r="A41" s="749" t="s">
        <v>213</v>
      </c>
      <c r="B41" s="756"/>
      <c r="C41" s="931">
        <f ca="1">huishoudens!B12</f>
        <v>3777.8925378861736</v>
      </c>
      <c r="D41" s="931">
        <f ca="1">huishoudens!C12</f>
        <v>0</v>
      </c>
      <c r="E41" s="931">
        <f>huishoudens!D12</f>
        <v>15018.920823487206</v>
      </c>
      <c r="F41" s="931">
        <f>huishoudens!E12</f>
        <v>228.9138675877644</v>
      </c>
      <c r="G41" s="931">
        <f>huishoudens!F12</f>
        <v>6241.0313170946338</v>
      </c>
      <c r="H41" s="931">
        <f>huishoudens!G12</f>
        <v>0</v>
      </c>
      <c r="I41" s="931">
        <f>huishoudens!H12</f>
        <v>0</v>
      </c>
      <c r="J41" s="931">
        <f>huishoudens!I12</f>
        <v>0</v>
      </c>
      <c r="K41" s="931">
        <f>huishoudens!J12</f>
        <v>42.524287786031451</v>
      </c>
      <c r="L41" s="931">
        <f>huishoudens!K12</f>
        <v>0</v>
      </c>
      <c r="M41" s="931">
        <f>huishoudens!L12</f>
        <v>0</v>
      </c>
      <c r="N41" s="931">
        <f>huishoudens!M12</f>
        <v>0</v>
      </c>
      <c r="O41" s="931">
        <f>huishoudens!N12</f>
        <v>0</v>
      </c>
      <c r="P41" s="931">
        <f>huishoudens!O12</f>
        <v>0</v>
      </c>
      <c r="Q41" s="702">
        <f>huishoudens!P12</f>
        <v>0</v>
      </c>
      <c r="R41" s="777">
        <f t="shared" ca="1" si="4"/>
        <v>25309.282833841815</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5945.2731825348683</v>
      </c>
      <c r="D43" s="931">
        <f ca="1">industrie!C22</f>
        <v>0</v>
      </c>
      <c r="E43" s="931">
        <f>industrie!D22</f>
        <v>9125.7140520002704</v>
      </c>
      <c r="F43" s="931">
        <f>industrie!E22</f>
        <v>268.57287190657206</v>
      </c>
      <c r="G43" s="931">
        <f>industrie!F22</f>
        <v>2421.6347765009696</v>
      </c>
      <c r="H43" s="931">
        <f>industrie!G22</f>
        <v>0</v>
      </c>
      <c r="I43" s="931">
        <f>industrie!H22</f>
        <v>0</v>
      </c>
      <c r="J43" s="931">
        <f>industrie!I22</f>
        <v>0</v>
      </c>
      <c r="K43" s="931">
        <f>industrie!J22</f>
        <v>19.747245583908196</v>
      </c>
      <c r="L43" s="931">
        <f>industrie!K22</f>
        <v>0</v>
      </c>
      <c r="M43" s="931">
        <f>industrie!L22</f>
        <v>0</v>
      </c>
      <c r="N43" s="931">
        <f>industrie!M22</f>
        <v>0</v>
      </c>
      <c r="O43" s="931">
        <f>industrie!N22</f>
        <v>0</v>
      </c>
      <c r="P43" s="931">
        <f>industrie!O22</f>
        <v>0</v>
      </c>
      <c r="Q43" s="702">
        <f>industrie!P22</f>
        <v>0</v>
      </c>
      <c r="R43" s="776">
        <f t="shared" ca="1" si="4"/>
        <v>17780.942128526589</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14859.182725830498</v>
      </c>
      <c r="D46" s="660">
        <f t="shared" ref="D46:Q46" ca="1" si="5">SUM(D39:D45)</f>
        <v>0</v>
      </c>
      <c r="E46" s="660">
        <f t="shared" ca="1" si="5"/>
        <v>32235.561682360218</v>
      </c>
      <c r="F46" s="660">
        <f t="shared" si="5"/>
        <v>569.0389529988945</v>
      </c>
      <c r="G46" s="660">
        <f t="shared" ca="1" si="5"/>
        <v>9659.378913248609</v>
      </c>
      <c r="H46" s="660">
        <f t="shared" si="5"/>
        <v>0</v>
      </c>
      <c r="I46" s="660">
        <f t="shared" si="5"/>
        <v>0</v>
      </c>
      <c r="J46" s="660">
        <f t="shared" si="5"/>
        <v>0</v>
      </c>
      <c r="K46" s="660">
        <f t="shared" si="5"/>
        <v>62.282655613811372</v>
      </c>
      <c r="L46" s="660">
        <f t="shared" si="5"/>
        <v>0</v>
      </c>
      <c r="M46" s="660">
        <f t="shared" ca="1" si="5"/>
        <v>0</v>
      </c>
      <c r="N46" s="660">
        <f t="shared" si="5"/>
        <v>0</v>
      </c>
      <c r="O46" s="660">
        <f t="shared" ca="1" si="5"/>
        <v>0</v>
      </c>
      <c r="P46" s="660">
        <f t="shared" si="5"/>
        <v>0</v>
      </c>
      <c r="Q46" s="660">
        <f t="shared" si="5"/>
        <v>0</v>
      </c>
      <c r="R46" s="660">
        <f ca="1">SUM(R39:R45)</f>
        <v>57385.444930052035</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3.9460898964587425</v>
      </c>
      <c r="D49" s="931">
        <f ca="1">transport!C58</f>
        <v>0</v>
      </c>
      <c r="E49" s="931">
        <f>transport!D58</f>
        <v>0</v>
      </c>
      <c r="F49" s="931">
        <f>transport!E58</f>
        <v>0</v>
      </c>
      <c r="G49" s="931">
        <f>transport!F58</f>
        <v>0</v>
      </c>
      <c r="H49" s="931">
        <f>transport!G58</f>
        <v>713.94576842554238</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717.8918583220011</v>
      </c>
    </row>
    <row r="50" spans="1:18">
      <c r="A50" s="752" t="s">
        <v>295</v>
      </c>
      <c r="B50" s="762"/>
      <c r="C50" s="631">
        <f ca="1">transport!B18</f>
        <v>7.7130809171487886</v>
      </c>
      <c r="D50" s="631">
        <f>transport!C18</f>
        <v>0</v>
      </c>
      <c r="E50" s="631">
        <f>transport!D18</f>
        <v>19.180670197487419</v>
      </c>
      <c r="F50" s="631">
        <f>transport!E18</f>
        <v>37.609238437244294</v>
      </c>
      <c r="G50" s="631">
        <f>transport!F18</f>
        <v>0</v>
      </c>
      <c r="H50" s="631">
        <f>transport!G18</f>
        <v>19939.128510888579</v>
      </c>
      <c r="I50" s="631">
        <f>transport!H18</f>
        <v>4093.6797017635399</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24097.311202204</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11.659170813607531</v>
      </c>
      <c r="D52" s="660">
        <f t="shared" ref="D52:Q52" ca="1" si="6">SUM(D48:D51)</f>
        <v>0</v>
      </c>
      <c r="E52" s="660">
        <f t="shared" si="6"/>
        <v>19.180670197487419</v>
      </c>
      <c r="F52" s="660">
        <f t="shared" si="6"/>
        <v>37.609238437244294</v>
      </c>
      <c r="G52" s="660">
        <f t="shared" si="6"/>
        <v>0</v>
      </c>
      <c r="H52" s="660">
        <f t="shared" si="6"/>
        <v>20653.074279314122</v>
      </c>
      <c r="I52" s="660">
        <f t="shared" si="6"/>
        <v>4093.6797017635399</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24815.203060526001</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268.47480148449449</v>
      </c>
      <c r="D54" s="631">
        <f ca="1">+landbouw!C12</f>
        <v>0</v>
      </c>
      <c r="E54" s="631">
        <f>+landbouw!D12</f>
        <v>1004.6253796095305</v>
      </c>
      <c r="F54" s="631">
        <f>+landbouw!E12</f>
        <v>14.266720807387125</v>
      </c>
      <c r="G54" s="631">
        <f>+landbouw!F12</f>
        <v>1907.5782927162722</v>
      </c>
      <c r="H54" s="631">
        <f>+landbouw!G12</f>
        <v>0</v>
      </c>
      <c r="I54" s="631">
        <f>+landbouw!H12</f>
        <v>0</v>
      </c>
      <c r="J54" s="631">
        <f>+landbouw!I12</f>
        <v>0</v>
      </c>
      <c r="K54" s="631">
        <f>+landbouw!J12</f>
        <v>180.29411414032495</v>
      </c>
      <c r="L54" s="631">
        <f>+landbouw!K12</f>
        <v>0</v>
      </c>
      <c r="M54" s="631">
        <f>+landbouw!L12</f>
        <v>0</v>
      </c>
      <c r="N54" s="631">
        <f>+landbouw!M12</f>
        <v>0</v>
      </c>
      <c r="O54" s="631">
        <f>+landbouw!N12</f>
        <v>0</v>
      </c>
      <c r="P54" s="631">
        <f>+landbouw!O12</f>
        <v>0</v>
      </c>
      <c r="Q54" s="632">
        <f>+landbouw!P12</f>
        <v>0</v>
      </c>
      <c r="R54" s="659">
        <f ca="1">SUM(C54:Q54)</f>
        <v>3375.239308758009</v>
      </c>
    </row>
    <row r="55" spans="1:18" ht="15" thickBot="1">
      <c r="A55" s="752" t="s">
        <v>775</v>
      </c>
      <c r="B55" s="762"/>
      <c r="C55" s="631">
        <f ca="1">C25*'EF ele_warmte'!B12</f>
        <v>223.63180207661418</v>
      </c>
      <c r="D55" s="631"/>
      <c r="E55" s="631">
        <f>E25*EF_CO2_aardgas</f>
        <v>408.27695824980526</v>
      </c>
      <c r="F55" s="631"/>
      <c r="G55" s="631"/>
      <c r="H55" s="631"/>
      <c r="I55" s="631"/>
      <c r="J55" s="631"/>
      <c r="K55" s="631"/>
      <c r="L55" s="631"/>
      <c r="M55" s="631"/>
      <c r="N55" s="631"/>
      <c r="O55" s="631"/>
      <c r="P55" s="631"/>
      <c r="Q55" s="632"/>
      <c r="R55" s="659">
        <f ca="1">SUM(C55:Q55)</f>
        <v>631.9087603264195</v>
      </c>
    </row>
    <row r="56" spans="1:18" ht="15.75" thickBot="1">
      <c r="A56" s="750" t="s">
        <v>776</v>
      </c>
      <c r="B56" s="763"/>
      <c r="C56" s="660">
        <f ca="1">SUM(C54:C55)</f>
        <v>492.10660356110867</v>
      </c>
      <c r="D56" s="660">
        <f t="shared" ref="D56:Q56" ca="1" si="7">SUM(D54:D55)</f>
        <v>0</v>
      </c>
      <c r="E56" s="660">
        <f t="shared" si="7"/>
        <v>1412.9023378593356</v>
      </c>
      <c r="F56" s="660">
        <f t="shared" si="7"/>
        <v>14.266720807387125</v>
      </c>
      <c r="G56" s="660">
        <f t="shared" si="7"/>
        <v>1907.5782927162722</v>
      </c>
      <c r="H56" s="660">
        <f t="shared" si="7"/>
        <v>0</v>
      </c>
      <c r="I56" s="660">
        <f t="shared" si="7"/>
        <v>0</v>
      </c>
      <c r="J56" s="660">
        <f t="shared" si="7"/>
        <v>0</v>
      </c>
      <c r="K56" s="660">
        <f t="shared" si="7"/>
        <v>180.29411414032495</v>
      </c>
      <c r="L56" s="660">
        <f t="shared" si="7"/>
        <v>0</v>
      </c>
      <c r="M56" s="660">
        <f t="shared" si="7"/>
        <v>0</v>
      </c>
      <c r="N56" s="660">
        <f t="shared" si="7"/>
        <v>0</v>
      </c>
      <c r="O56" s="660">
        <f t="shared" si="7"/>
        <v>0</v>
      </c>
      <c r="P56" s="660">
        <f t="shared" si="7"/>
        <v>0</v>
      </c>
      <c r="Q56" s="661">
        <f t="shared" si="7"/>
        <v>0</v>
      </c>
      <c r="R56" s="662">
        <f ca="1">SUM(R54:R55)</f>
        <v>4007.1480690844282</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15362.948500205215</v>
      </c>
      <c r="D61" s="668">
        <f t="shared" ref="D61:Q61" ca="1" si="8">D46+D52+D56</f>
        <v>0</v>
      </c>
      <c r="E61" s="668">
        <f t="shared" ca="1" si="8"/>
        <v>33667.644690417044</v>
      </c>
      <c r="F61" s="668">
        <f t="shared" si="8"/>
        <v>620.91491224352592</v>
      </c>
      <c r="G61" s="668">
        <f t="shared" ca="1" si="8"/>
        <v>11566.957205964882</v>
      </c>
      <c r="H61" s="668">
        <f t="shared" si="8"/>
        <v>20653.074279314122</v>
      </c>
      <c r="I61" s="668">
        <f t="shared" si="8"/>
        <v>4093.6797017635399</v>
      </c>
      <c r="J61" s="668">
        <f t="shared" si="8"/>
        <v>0</v>
      </c>
      <c r="K61" s="668">
        <f t="shared" si="8"/>
        <v>242.57676975413631</v>
      </c>
      <c r="L61" s="668">
        <f t="shared" si="8"/>
        <v>0</v>
      </c>
      <c r="M61" s="668">
        <f t="shared" ca="1" si="8"/>
        <v>0</v>
      </c>
      <c r="N61" s="668">
        <f t="shared" si="8"/>
        <v>0</v>
      </c>
      <c r="O61" s="668">
        <f t="shared" ca="1" si="8"/>
        <v>0</v>
      </c>
      <c r="P61" s="668">
        <f t="shared" si="8"/>
        <v>0</v>
      </c>
      <c r="Q61" s="668">
        <f t="shared" si="8"/>
        <v>0</v>
      </c>
      <c r="R61" s="668">
        <f ca="1">R46+R52+R56</f>
        <v>86207.796059662462</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0.13863213726388085</v>
      </c>
      <c r="D63" s="709">
        <f t="shared" ca="1" si="9"/>
        <v>0</v>
      </c>
      <c r="E63" s="942">
        <f t="shared" ca="1" si="9"/>
        <v>0.20200000000000004</v>
      </c>
      <c r="F63" s="709">
        <f t="shared" si="9"/>
        <v>0.22700000000000004</v>
      </c>
      <c r="G63" s="709">
        <f t="shared" ca="1" si="9"/>
        <v>0.26700000000000007</v>
      </c>
      <c r="H63" s="709">
        <f t="shared" si="9"/>
        <v>0.26699999999999996</v>
      </c>
      <c r="I63" s="709">
        <f t="shared" si="9"/>
        <v>0.249</v>
      </c>
      <c r="J63" s="709">
        <f t="shared" si="9"/>
        <v>0</v>
      </c>
      <c r="K63" s="709">
        <f t="shared" si="9"/>
        <v>0.35399999999999993</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7997.9847437160261</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15961.5</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18778.23529411765</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17343</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49551.428571428572</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41302.484743716028</v>
      </c>
      <c r="C78" s="683">
        <f>SUM(C72:C77)</f>
        <v>0</v>
      </c>
      <c r="D78" s="684">
        <f t="shared" ref="D78:H78" si="10">SUM(D76:D77)</f>
        <v>0</v>
      </c>
      <c r="E78" s="684">
        <f t="shared" si="10"/>
        <v>0</v>
      </c>
      <c r="F78" s="684">
        <f t="shared" si="10"/>
        <v>0</v>
      </c>
      <c r="G78" s="684">
        <f t="shared" si="10"/>
        <v>0</v>
      </c>
      <c r="H78" s="684">
        <f t="shared" si="10"/>
        <v>0</v>
      </c>
      <c r="I78" s="684">
        <f>SUM(I76:I77)</f>
        <v>0</v>
      </c>
      <c r="J78" s="684">
        <f>SUM(J76:J77)</f>
        <v>68329.66386554623</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22802.142857142859</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26826.050420168071</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22802.142857142859</v>
      </c>
      <c r="C90" s="683">
        <f>SUM(C87:C89)</f>
        <v>0</v>
      </c>
      <c r="D90" s="683">
        <f t="shared" ref="D90:H90" si="12">SUM(D87:D89)</f>
        <v>0</v>
      </c>
      <c r="E90" s="683">
        <f t="shared" si="12"/>
        <v>0</v>
      </c>
      <c r="F90" s="683">
        <f t="shared" si="12"/>
        <v>0</v>
      </c>
      <c r="G90" s="683">
        <f t="shared" si="12"/>
        <v>0</v>
      </c>
      <c r="H90" s="683">
        <f t="shared" si="12"/>
        <v>0</v>
      </c>
      <c r="I90" s="683">
        <f>SUM(I87:I89)</f>
        <v>0</v>
      </c>
      <c r="J90" s="683">
        <f>SUM(J87:J89)</f>
        <v>26826.050420168071</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27251.203165793391</v>
      </c>
      <c r="C4" s="441">
        <f>huishoudens!C8</f>
        <v>0</v>
      </c>
      <c r="D4" s="441">
        <f>huishoudens!D8</f>
        <v>74351.093185580219</v>
      </c>
      <c r="E4" s="441">
        <f>huishoudens!E8</f>
        <v>1008.4311347478608</v>
      </c>
      <c r="F4" s="441">
        <f>huishoudens!F8</f>
        <v>23374.649127695255</v>
      </c>
      <c r="G4" s="441">
        <f>huishoudens!G8</f>
        <v>0</v>
      </c>
      <c r="H4" s="441">
        <f>huishoudens!H8</f>
        <v>0</v>
      </c>
      <c r="I4" s="441">
        <f>huishoudens!I8</f>
        <v>0</v>
      </c>
      <c r="J4" s="441">
        <f>huishoudens!J8</f>
        <v>120.12510674020184</v>
      </c>
      <c r="K4" s="441">
        <f>huishoudens!K8</f>
        <v>0</v>
      </c>
      <c r="L4" s="441">
        <f>huishoudens!L8</f>
        <v>0</v>
      </c>
      <c r="M4" s="441">
        <f>huishoudens!M8</f>
        <v>0</v>
      </c>
      <c r="N4" s="441">
        <f>huishoudens!N8</f>
        <v>7958.9822768500972</v>
      </c>
      <c r="O4" s="441">
        <f>huishoudens!O8</f>
        <v>198.54333333333332</v>
      </c>
      <c r="P4" s="442">
        <f>huishoudens!P8</f>
        <v>1048.6666666666667</v>
      </c>
      <c r="Q4" s="443">
        <f>SUM(B4:P4)</f>
        <v>135311.69399740701</v>
      </c>
    </row>
    <row r="5" spans="1:17">
      <c r="A5" s="440" t="s">
        <v>149</v>
      </c>
      <c r="B5" s="441">
        <f ca="1">tertiair!B16</f>
        <v>36495.218452964356</v>
      </c>
      <c r="C5" s="441">
        <f ca="1">tertiair!C16</f>
        <v>22802.142857142859</v>
      </c>
      <c r="D5" s="441">
        <f ca="1">tertiair!D16</f>
        <v>40054.093103330415</v>
      </c>
      <c r="E5" s="441">
        <f>tertiair!E16</f>
        <v>315.20798900686339</v>
      </c>
      <c r="F5" s="441">
        <f ca="1">tertiair!F16</f>
        <v>3733.0068151797914</v>
      </c>
      <c r="G5" s="441">
        <f>tertiair!G16</f>
        <v>0</v>
      </c>
      <c r="H5" s="441">
        <f>tertiair!H16</f>
        <v>0</v>
      </c>
      <c r="I5" s="441">
        <f>tertiair!I16</f>
        <v>0</v>
      </c>
      <c r="J5" s="441">
        <f>tertiair!J16</f>
        <v>3.141876799922131E-2</v>
      </c>
      <c r="K5" s="441">
        <f>tertiair!K16</f>
        <v>0</v>
      </c>
      <c r="L5" s="441">
        <f ca="1">tertiair!L16</f>
        <v>0</v>
      </c>
      <c r="M5" s="441">
        <f>tertiair!M16</f>
        <v>0</v>
      </c>
      <c r="N5" s="441">
        <f ca="1">tertiair!N16</f>
        <v>0</v>
      </c>
      <c r="O5" s="441">
        <f>tertiair!O16</f>
        <v>4.6900000000000004</v>
      </c>
      <c r="P5" s="442">
        <f>tertiair!P16</f>
        <v>76.266666666666666</v>
      </c>
      <c r="Q5" s="440">
        <f t="shared" ref="Q5:Q14" ca="1" si="0">SUM(B5:P5)</f>
        <v>103480.65730305895</v>
      </c>
    </row>
    <row r="6" spans="1:17">
      <c r="A6" s="440" t="s">
        <v>187</v>
      </c>
      <c r="B6" s="441">
        <f>'openbare verlichting'!B8</f>
        <v>552.59100000000001</v>
      </c>
      <c r="C6" s="441"/>
      <c r="D6" s="441"/>
      <c r="E6" s="441"/>
      <c r="F6" s="441"/>
      <c r="G6" s="441"/>
      <c r="H6" s="441"/>
      <c r="I6" s="441"/>
      <c r="J6" s="441"/>
      <c r="K6" s="441"/>
      <c r="L6" s="441"/>
      <c r="M6" s="441"/>
      <c r="N6" s="441"/>
      <c r="O6" s="441"/>
      <c r="P6" s="442"/>
      <c r="Q6" s="440">
        <f t="shared" si="0"/>
        <v>552.59100000000001</v>
      </c>
    </row>
    <row r="7" spans="1:17">
      <c r="A7" s="440" t="s">
        <v>105</v>
      </c>
      <c r="B7" s="441">
        <f>landbouw!B8</f>
        <v>1936.5985894992241</v>
      </c>
      <c r="C7" s="441">
        <f>landbouw!C8</f>
        <v>0</v>
      </c>
      <c r="D7" s="441">
        <f>landbouw!D8</f>
        <v>4973.3929683640117</v>
      </c>
      <c r="E7" s="441">
        <f>landbouw!E8</f>
        <v>62.848990340912444</v>
      </c>
      <c r="F7" s="441">
        <f>landbouw!F8</f>
        <v>7144.4879877013936</v>
      </c>
      <c r="G7" s="441">
        <f>landbouw!G8</f>
        <v>0</v>
      </c>
      <c r="H7" s="441">
        <f>landbouw!H8</f>
        <v>0</v>
      </c>
      <c r="I7" s="441">
        <f>landbouw!I8</f>
        <v>0</v>
      </c>
      <c r="J7" s="441">
        <f>landbouw!J8</f>
        <v>509.30540717605925</v>
      </c>
      <c r="K7" s="441">
        <f>landbouw!K8</f>
        <v>0</v>
      </c>
      <c r="L7" s="441">
        <f>landbouw!L8</f>
        <v>0</v>
      </c>
      <c r="M7" s="441">
        <f>landbouw!M8</f>
        <v>0</v>
      </c>
      <c r="N7" s="441">
        <f>landbouw!N8</f>
        <v>0</v>
      </c>
      <c r="O7" s="441">
        <f>landbouw!O8</f>
        <v>0</v>
      </c>
      <c r="P7" s="442">
        <f>landbouw!P8</f>
        <v>0</v>
      </c>
      <c r="Q7" s="440">
        <f t="shared" si="0"/>
        <v>14626.633943081601</v>
      </c>
    </row>
    <row r="8" spans="1:17">
      <c r="A8" s="440" t="s">
        <v>596</v>
      </c>
      <c r="B8" s="441">
        <f>industrie!B18</f>
        <v>42885.245080065913</v>
      </c>
      <c r="C8" s="441">
        <f>industrie!C18</f>
        <v>0</v>
      </c>
      <c r="D8" s="441">
        <f>industrie!D18</f>
        <v>45176.802237625096</v>
      </c>
      <c r="E8" s="441">
        <f>industrie!E18</f>
        <v>1183.1404048747668</v>
      </c>
      <c r="F8" s="441">
        <f>industrie!F18</f>
        <v>9069.7931704156163</v>
      </c>
      <c r="G8" s="441">
        <f>industrie!G18</f>
        <v>0</v>
      </c>
      <c r="H8" s="441">
        <f>industrie!H18</f>
        <v>0</v>
      </c>
      <c r="I8" s="441">
        <f>industrie!I18</f>
        <v>0</v>
      </c>
      <c r="J8" s="441">
        <f>industrie!J18</f>
        <v>55.783179615559874</v>
      </c>
      <c r="K8" s="441">
        <f>industrie!K18</f>
        <v>0</v>
      </c>
      <c r="L8" s="441">
        <f>industrie!L18</f>
        <v>0</v>
      </c>
      <c r="M8" s="441">
        <f>industrie!M18</f>
        <v>0</v>
      </c>
      <c r="N8" s="441">
        <f>industrie!N18</f>
        <v>1185.9278280672593</v>
      </c>
      <c r="O8" s="441">
        <f>industrie!O18</f>
        <v>0</v>
      </c>
      <c r="P8" s="442">
        <f>industrie!P18</f>
        <v>0</v>
      </c>
      <c r="Q8" s="440">
        <f t="shared" si="0"/>
        <v>99556.691900664213</v>
      </c>
    </row>
    <row r="9" spans="1:17" s="446" customFormat="1">
      <c r="A9" s="444" t="s">
        <v>545</v>
      </c>
      <c r="B9" s="445">
        <f>transport!B14</f>
        <v>55.637033875249578</v>
      </c>
      <c r="C9" s="445">
        <f>transport!C14</f>
        <v>0</v>
      </c>
      <c r="D9" s="445">
        <f>transport!D14</f>
        <v>94.953812858848607</v>
      </c>
      <c r="E9" s="445">
        <f>transport!E14</f>
        <v>165.67946448125238</v>
      </c>
      <c r="F9" s="445">
        <f>transport!F14</f>
        <v>0</v>
      </c>
      <c r="G9" s="445">
        <f>transport!G14</f>
        <v>74678.383935912279</v>
      </c>
      <c r="H9" s="445">
        <f>transport!H14</f>
        <v>16440.480729974057</v>
      </c>
      <c r="I9" s="445">
        <f>transport!I14</f>
        <v>0</v>
      </c>
      <c r="J9" s="445">
        <f>transport!J14</f>
        <v>0</v>
      </c>
      <c r="K9" s="445">
        <f>transport!K14</f>
        <v>0</v>
      </c>
      <c r="L9" s="445">
        <f>transport!L14</f>
        <v>0</v>
      </c>
      <c r="M9" s="445">
        <f>transport!M14</f>
        <v>4847.1306548862758</v>
      </c>
      <c r="N9" s="445">
        <f>transport!N14</f>
        <v>0</v>
      </c>
      <c r="O9" s="445">
        <f>transport!O14</f>
        <v>0</v>
      </c>
      <c r="P9" s="445">
        <f>transport!P14</f>
        <v>0</v>
      </c>
      <c r="Q9" s="444">
        <f>SUM(B9:P9)</f>
        <v>96282.265631987975</v>
      </c>
    </row>
    <row r="10" spans="1:17">
      <c r="A10" s="440" t="s">
        <v>535</v>
      </c>
      <c r="B10" s="441">
        <f>transport!B54</f>
        <v>28.464467001237345</v>
      </c>
      <c r="C10" s="441">
        <f>transport!C54</f>
        <v>0</v>
      </c>
      <c r="D10" s="441">
        <f>transport!D54</f>
        <v>0</v>
      </c>
      <c r="E10" s="441">
        <f>transport!E54</f>
        <v>0</v>
      </c>
      <c r="F10" s="441">
        <f>transport!F54</f>
        <v>0</v>
      </c>
      <c r="G10" s="441">
        <f>transport!G54</f>
        <v>2673.9541888597091</v>
      </c>
      <c r="H10" s="441">
        <f>transport!H54</f>
        <v>0</v>
      </c>
      <c r="I10" s="441">
        <f>transport!I54</f>
        <v>0</v>
      </c>
      <c r="J10" s="441">
        <f>transport!J54</f>
        <v>0</v>
      </c>
      <c r="K10" s="441">
        <f>transport!K54</f>
        <v>0</v>
      </c>
      <c r="L10" s="441">
        <f>transport!L54</f>
        <v>0</v>
      </c>
      <c r="M10" s="441">
        <f>transport!M54</f>
        <v>153.98499323030998</v>
      </c>
      <c r="N10" s="441">
        <f>transport!N54</f>
        <v>0</v>
      </c>
      <c r="O10" s="441">
        <f>transport!O54</f>
        <v>0</v>
      </c>
      <c r="P10" s="442">
        <f>transport!P54</f>
        <v>0</v>
      </c>
      <c r="Q10" s="440">
        <f t="shared" si="0"/>
        <v>2856.4036490912563</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1613.1310278434198</v>
      </c>
      <c r="C14" s="448"/>
      <c r="D14" s="448">
        <f>'SEAP template'!E25</f>
        <v>2021.1730606426001</v>
      </c>
      <c r="E14" s="448"/>
      <c r="F14" s="448"/>
      <c r="G14" s="448"/>
      <c r="H14" s="448"/>
      <c r="I14" s="448"/>
      <c r="J14" s="448"/>
      <c r="K14" s="448"/>
      <c r="L14" s="448"/>
      <c r="M14" s="448"/>
      <c r="N14" s="448"/>
      <c r="O14" s="448"/>
      <c r="P14" s="449"/>
      <c r="Q14" s="440">
        <f t="shared" si="0"/>
        <v>3634.3040884860202</v>
      </c>
    </row>
    <row r="15" spans="1:17" s="450" customFormat="1">
      <c r="A15" s="957" t="s">
        <v>539</v>
      </c>
      <c r="B15" s="905">
        <f ca="1">SUM(B4:B14)</f>
        <v>110818.08881704279</v>
      </c>
      <c r="C15" s="905">
        <f t="shared" ref="C15:Q15" ca="1" si="1">SUM(C4:C14)</f>
        <v>22802.142857142859</v>
      </c>
      <c r="D15" s="905">
        <f t="shared" ca="1" si="1"/>
        <v>166671.50836840121</v>
      </c>
      <c r="E15" s="905">
        <f t="shared" si="1"/>
        <v>2735.3079834516557</v>
      </c>
      <c r="F15" s="905">
        <f t="shared" ca="1" si="1"/>
        <v>43321.937100992058</v>
      </c>
      <c r="G15" s="905">
        <f t="shared" si="1"/>
        <v>77352.338124771995</v>
      </c>
      <c r="H15" s="905">
        <f t="shared" si="1"/>
        <v>16440.480729974057</v>
      </c>
      <c r="I15" s="905">
        <f t="shared" si="1"/>
        <v>0</v>
      </c>
      <c r="J15" s="905">
        <f t="shared" si="1"/>
        <v>685.24511229982022</v>
      </c>
      <c r="K15" s="905">
        <f t="shared" si="1"/>
        <v>0</v>
      </c>
      <c r="L15" s="905">
        <f t="shared" ca="1" si="1"/>
        <v>0</v>
      </c>
      <c r="M15" s="905">
        <f t="shared" si="1"/>
        <v>5001.1156481165854</v>
      </c>
      <c r="N15" s="905">
        <f t="shared" ca="1" si="1"/>
        <v>9144.9101049173569</v>
      </c>
      <c r="O15" s="905">
        <f t="shared" si="1"/>
        <v>203.23333333333332</v>
      </c>
      <c r="P15" s="905">
        <f t="shared" si="1"/>
        <v>1124.9333333333334</v>
      </c>
      <c r="Q15" s="905">
        <f t="shared" ca="1" si="1"/>
        <v>456301.24151377694</v>
      </c>
    </row>
    <row r="17" spans="1:17">
      <c r="A17" s="451" t="s">
        <v>540</v>
      </c>
      <c r="B17" s="714">
        <f ca="1">huishoudens!B10</f>
        <v>0.13863213726388085</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3777.8925378861736</v>
      </c>
      <c r="C22" s="441">
        <f t="shared" ref="C22:C32" ca="1" si="3">C4*$C$17</f>
        <v>0</v>
      </c>
      <c r="D22" s="441">
        <f t="shared" ref="D22:D32" si="4">D4*$D$17</f>
        <v>15018.920823487206</v>
      </c>
      <c r="E22" s="441">
        <f t="shared" ref="E22:E32" si="5">E4*$E$17</f>
        <v>228.9138675877644</v>
      </c>
      <c r="F22" s="441">
        <f t="shared" ref="F22:F32" si="6">F4*$F$17</f>
        <v>6241.0313170946338</v>
      </c>
      <c r="G22" s="441">
        <f t="shared" ref="G22:G32" si="7">G4*$G$17</f>
        <v>0</v>
      </c>
      <c r="H22" s="441">
        <f t="shared" ref="H22:H32" si="8">H4*$H$17</f>
        <v>0</v>
      </c>
      <c r="I22" s="441">
        <f t="shared" ref="I22:I32" si="9">I4*$I$17</f>
        <v>0</v>
      </c>
      <c r="J22" s="441">
        <f t="shared" ref="J22:J32" si="10">J4*$J$17</f>
        <v>42.524287786031451</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25309.282833841815</v>
      </c>
    </row>
    <row r="23" spans="1:17">
      <c r="A23" s="440" t="s">
        <v>149</v>
      </c>
      <c r="B23" s="441">
        <f t="shared" ca="1" si="2"/>
        <v>5059.4101340466723</v>
      </c>
      <c r="C23" s="441">
        <f t="shared" ca="1" si="3"/>
        <v>0</v>
      </c>
      <c r="D23" s="441">
        <f t="shared" ca="1" si="4"/>
        <v>8090.9268068727442</v>
      </c>
      <c r="E23" s="441">
        <f t="shared" si="5"/>
        <v>71.552213504557997</v>
      </c>
      <c r="F23" s="441">
        <f t="shared" ca="1" si="6"/>
        <v>996.71281965300432</v>
      </c>
      <c r="G23" s="441">
        <f t="shared" si="7"/>
        <v>0</v>
      </c>
      <c r="H23" s="441">
        <f t="shared" si="8"/>
        <v>0</v>
      </c>
      <c r="I23" s="441">
        <f t="shared" si="9"/>
        <v>0</v>
      </c>
      <c r="J23" s="441">
        <f t="shared" si="10"/>
        <v>1.1122243871724342E-2</v>
      </c>
      <c r="K23" s="441">
        <f t="shared" si="11"/>
        <v>0</v>
      </c>
      <c r="L23" s="441">
        <f t="shared" ca="1" si="12"/>
        <v>0</v>
      </c>
      <c r="M23" s="441">
        <f t="shared" si="13"/>
        <v>0</v>
      </c>
      <c r="N23" s="441">
        <f t="shared" ca="1" si="14"/>
        <v>0</v>
      </c>
      <c r="O23" s="441">
        <f t="shared" si="15"/>
        <v>0</v>
      </c>
      <c r="P23" s="442">
        <f t="shared" si="16"/>
        <v>0</v>
      </c>
      <c r="Q23" s="440">
        <f t="shared" ref="Q23:Q32" ca="1" si="17">SUM(B23:P23)</f>
        <v>14218.613096320851</v>
      </c>
    </row>
    <row r="24" spans="1:17">
      <c r="A24" s="440" t="s">
        <v>187</v>
      </c>
      <c r="B24" s="441">
        <f t="shared" ca="1" si="2"/>
        <v>76.606871362785185</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76.606871362785185</v>
      </c>
    </row>
    <row r="25" spans="1:17">
      <c r="A25" s="440" t="s">
        <v>105</v>
      </c>
      <c r="B25" s="441">
        <f t="shared" ca="1" si="2"/>
        <v>268.47480148449449</v>
      </c>
      <c r="C25" s="441">
        <f t="shared" ca="1" si="3"/>
        <v>0</v>
      </c>
      <c r="D25" s="441">
        <f t="shared" si="4"/>
        <v>1004.6253796095305</v>
      </c>
      <c r="E25" s="441">
        <f t="shared" si="5"/>
        <v>14.266720807387125</v>
      </c>
      <c r="F25" s="441">
        <f t="shared" si="6"/>
        <v>1907.5782927162722</v>
      </c>
      <c r="G25" s="441">
        <f t="shared" si="7"/>
        <v>0</v>
      </c>
      <c r="H25" s="441">
        <f t="shared" si="8"/>
        <v>0</v>
      </c>
      <c r="I25" s="441">
        <f t="shared" si="9"/>
        <v>0</v>
      </c>
      <c r="J25" s="441">
        <f t="shared" si="10"/>
        <v>180.29411414032495</v>
      </c>
      <c r="K25" s="441">
        <f t="shared" si="11"/>
        <v>0</v>
      </c>
      <c r="L25" s="441">
        <f t="shared" si="12"/>
        <v>0</v>
      </c>
      <c r="M25" s="441">
        <f t="shared" si="13"/>
        <v>0</v>
      </c>
      <c r="N25" s="441">
        <f t="shared" si="14"/>
        <v>0</v>
      </c>
      <c r="O25" s="441">
        <f t="shared" si="15"/>
        <v>0</v>
      </c>
      <c r="P25" s="442">
        <f t="shared" si="16"/>
        <v>0</v>
      </c>
      <c r="Q25" s="440">
        <f t="shared" ca="1" si="17"/>
        <v>3375.239308758009</v>
      </c>
    </row>
    <row r="26" spans="1:17">
      <c r="A26" s="440" t="s">
        <v>596</v>
      </c>
      <c r="B26" s="441">
        <f t="shared" ca="1" si="2"/>
        <v>5945.2731825348683</v>
      </c>
      <c r="C26" s="441">
        <f t="shared" ca="1" si="3"/>
        <v>0</v>
      </c>
      <c r="D26" s="441">
        <f t="shared" si="4"/>
        <v>9125.7140520002704</v>
      </c>
      <c r="E26" s="441">
        <f t="shared" si="5"/>
        <v>268.57287190657206</v>
      </c>
      <c r="F26" s="441">
        <f t="shared" si="6"/>
        <v>2421.6347765009696</v>
      </c>
      <c r="G26" s="441">
        <f t="shared" si="7"/>
        <v>0</v>
      </c>
      <c r="H26" s="441">
        <f t="shared" si="8"/>
        <v>0</v>
      </c>
      <c r="I26" s="441">
        <f t="shared" si="9"/>
        <v>0</v>
      </c>
      <c r="J26" s="441">
        <f t="shared" si="10"/>
        <v>19.747245583908196</v>
      </c>
      <c r="K26" s="441">
        <f t="shared" si="11"/>
        <v>0</v>
      </c>
      <c r="L26" s="441">
        <f t="shared" si="12"/>
        <v>0</v>
      </c>
      <c r="M26" s="441">
        <f t="shared" si="13"/>
        <v>0</v>
      </c>
      <c r="N26" s="441">
        <f t="shared" si="14"/>
        <v>0</v>
      </c>
      <c r="O26" s="441">
        <f t="shared" si="15"/>
        <v>0</v>
      </c>
      <c r="P26" s="442">
        <f t="shared" si="16"/>
        <v>0</v>
      </c>
      <c r="Q26" s="440">
        <f t="shared" ca="1" si="17"/>
        <v>17780.942128526589</v>
      </c>
    </row>
    <row r="27" spans="1:17" s="446" customFormat="1">
      <c r="A27" s="444" t="s">
        <v>545</v>
      </c>
      <c r="B27" s="708">
        <f t="shared" ca="1" si="2"/>
        <v>7.7130809171487886</v>
      </c>
      <c r="C27" s="445">
        <f t="shared" ca="1" si="3"/>
        <v>0</v>
      </c>
      <c r="D27" s="445">
        <f t="shared" si="4"/>
        <v>19.180670197487419</v>
      </c>
      <c r="E27" s="445">
        <f t="shared" si="5"/>
        <v>37.609238437244294</v>
      </c>
      <c r="F27" s="445">
        <f t="shared" si="6"/>
        <v>0</v>
      </c>
      <c r="G27" s="445">
        <f t="shared" si="7"/>
        <v>19939.128510888579</v>
      </c>
      <c r="H27" s="445">
        <f t="shared" si="8"/>
        <v>4093.6797017635399</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24097.311202204</v>
      </c>
    </row>
    <row r="28" spans="1:17">
      <c r="A28" s="440" t="s">
        <v>535</v>
      </c>
      <c r="B28" s="441">
        <f t="shared" ca="1" si="2"/>
        <v>3.9460898964587425</v>
      </c>
      <c r="C28" s="441">
        <f t="shared" ca="1" si="3"/>
        <v>0</v>
      </c>
      <c r="D28" s="441">
        <f t="shared" si="4"/>
        <v>0</v>
      </c>
      <c r="E28" s="441">
        <f t="shared" si="5"/>
        <v>0</v>
      </c>
      <c r="F28" s="441">
        <f t="shared" si="6"/>
        <v>0</v>
      </c>
      <c r="G28" s="441">
        <f t="shared" si="7"/>
        <v>713.94576842554238</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717.8918583220011</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223.63180207661418</v>
      </c>
      <c r="C32" s="441">
        <f t="shared" ca="1" si="3"/>
        <v>0</v>
      </c>
      <c r="D32" s="441">
        <f t="shared" si="4"/>
        <v>408.27695824980526</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631.9087603264195</v>
      </c>
    </row>
    <row r="33" spans="1:17" s="450" customFormat="1">
      <c r="A33" s="957" t="s">
        <v>539</v>
      </c>
      <c r="B33" s="905">
        <f ca="1">SUM(B22:B32)</f>
        <v>15362.948500205215</v>
      </c>
      <c r="C33" s="905">
        <f t="shared" ref="C33:Q33" ca="1" si="18">SUM(C22:C32)</f>
        <v>0</v>
      </c>
      <c r="D33" s="905">
        <f t="shared" ca="1" si="18"/>
        <v>33667.644690417044</v>
      </c>
      <c r="E33" s="905">
        <f t="shared" si="18"/>
        <v>620.91491224352581</v>
      </c>
      <c r="F33" s="905">
        <f t="shared" ca="1" si="18"/>
        <v>11566.957205964882</v>
      </c>
      <c r="G33" s="905">
        <f t="shared" si="18"/>
        <v>20653.074279314122</v>
      </c>
      <c r="H33" s="905">
        <f t="shared" si="18"/>
        <v>4093.6797017635399</v>
      </c>
      <c r="I33" s="905">
        <f t="shared" si="18"/>
        <v>0</v>
      </c>
      <c r="J33" s="905">
        <f t="shared" si="18"/>
        <v>242.57676975413631</v>
      </c>
      <c r="K33" s="905">
        <f t="shared" si="18"/>
        <v>0</v>
      </c>
      <c r="L33" s="905">
        <f t="shared" ca="1" si="18"/>
        <v>0</v>
      </c>
      <c r="M33" s="905">
        <f t="shared" si="18"/>
        <v>0</v>
      </c>
      <c r="N33" s="905">
        <f t="shared" ca="1" si="18"/>
        <v>0</v>
      </c>
      <c r="O33" s="905">
        <f t="shared" si="18"/>
        <v>0</v>
      </c>
      <c r="P33" s="905">
        <f t="shared" si="18"/>
        <v>0</v>
      </c>
      <c r="Q33" s="905">
        <f t="shared" ca="1" si="18"/>
        <v>86207.796059662476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7997.9847437160261</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15961.5</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18778.23529411765</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17343</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49551.428571428572</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41302.484743716028</v>
      </c>
      <c r="C10" s="978">
        <f>SUM(C4:C9)</f>
        <v>0</v>
      </c>
      <c r="D10" s="978">
        <f t="shared" ref="D10:H10" si="0">SUM(D8:D9)</f>
        <v>0</v>
      </c>
      <c r="E10" s="978">
        <f t="shared" si="0"/>
        <v>0</v>
      </c>
      <c r="F10" s="978">
        <f t="shared" si="0"/>
        <v>0</v>
      </c>
      <c r="G10" s="978">
        <f t="shared" si="0"/>
        <v>0</v>
      </c>
      <c r="H10" s="978">
        <f t="shared" si="0"/>
        <v>0</v>
      </c>
      <c r="I10" s="978">
        <f>SUM(I8:I9)</f>
        <v>0</v>
      </c>
      <c r="J10" s="978">
        <f>SUM(J8:J9)</f>
        <v>68329.66386554623</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0.13863213726388085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22802.142857142859</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26826.050420168071</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22802.142857142859</v>
      </c>
      <c r="C20" s="978">
        <f>SUM(C17:C19)</f>
        <v>0</v>
      </c>
      <c r="D20" s="978">
        <f t="shared" ref="D20:H20" si="2">SUM(D17:D19)</f>
        <v>0</v>
      </c>
      <c r="E20" s="978">
        <f t="shared" si="2"/>
        <v>0</v>
      </c>
      <c r="F20" s="978">
        <f t="shared" si="2"/>
        <v>0</v>
      </c>
      <c r="G20" s="978">
        <f t="shared" si="2"/>
        <v>0</v>
      </c>
      <c r="H20" s="978">
        <f t="shared" si="2"/>
        <v>0</v>
      </c>
      <c r="I20" s="978">
        <f>SUM(I17:I19)</f>
        <v>0</v>
      </c>
      <c r="J20" s="978">
        <f>SUM(J17:J19)</f>
        <v>26826.050420168071</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0.13863213726388085</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2</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3.1266666666666669</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2022-07-26T10:31:43Z</dcterms:modified>
</cp:coreProperties>
</file>