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BF7C0EDF-C47C-4E60-9A55-F557377156A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Q37" i="18"/>
  <c r="R37" i="18"/>
  <c r="J9" i="18"/>
  <c r="J77" i="14"/>
  <c r="J9" i="61"/>
  <c r="U37" i="18"/>
  <c r="T37" i="18"/>
  <c r="I9" i="18"/>
  <c r="S37" i="18"/>
  <c r="E9" i="18"/>
  <c r="P37" i="18"/>
  <c r="C9" i="18"/>
  <c r="O37" i="18"/>
  <c r="N37" i="18"/>
  <c r="B9" i="18"/>
  <c r="M37" i="18"/>
  <c r="W33" i="18"/>
  <c r="V33" i="18"/>
  <c r="U33" i="18"/>
  <c r="T33" i="18"/>
  <c r="S33" i="18"/>
  <c r="R33" i="18"/>
  <c r="Q33" i="18"/>
  <c r="P33" i="18"/>
  <c r="O33" i="18"/>
  <c r="N33" i="18"/>
  <c r="M33" i="18"/>
  <c r="W32" i="18"/>
  <c r="V32" i="18"/>
  <c r="U32" i="18"/>
  <c r="T32" i="18"/>
  <c r="S32" i="18"/>
  <c r="F13" i="15"/>
  <c r="R32" i="18"/>
  <c r="Q32" i="18"/>
  <c r="P32" i="18"/>
  <c r="D13" i="15"/>
  <c r="O32" i="18"/>
  <c r="C13" i="15"/>
  <c r="N32" i="18"/>
  <c r="M32" i="18"/>
  <c r="W31" i="18"/>
  <c r="V31" i="18"/>
  <c r="U31" i="18"/>
  <c r="T31" i="18"/>
  <c r="S31" i="18"/>
  <c r="R31" i="18"/>
  <c r="Q31" i="18"/>
  <c r="P31" i="18"/>
  <c r="O31" i="18"/>
  <c r="N31" i="18"/>
  <c r="M31" i="18"/>
  <c r="W30" i="18"/>
  <c r="V30" i="18"/>
  <c r="U30" i="18"/>
  <c r="T30" i="18"/>
  <c r="S30" i="18"/>
  <c r="R30" i="18"/>
  <c r="Q30" i="18"/>
  <c r="P30" i="18"/>
  <c r="O30" i="18"/>
  <c r="N30" i="18"/>
  <c r="B46" i="18"/>
  <c r="M30"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6"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9" i="18"/>
  <c r="H8" i="18"/>
  <c r="E49" i="18"/>
  <c r="E8" i="18"/>
  <c r="G49" i="18"/>
  <c r="F49" i="18"/>
  <c r="H49" i="18"/>
  <c r="D49" i="18"/>
  <c r="C49" i="18"/>
  <c r="B49" i="18"/>
  <c r="C8" i="18"/>
  <c r="I50" i="18"/>
  <c r="H17" i="18"/>
  <c r="E50" i="18"/>
  <c r="E17" i="18"/>
  <c r="C50" i="18"/>
  <c r="B50" i="18"/>
  <c r="C17" i="18"/>
  <c r="H50" i="18"/>
  <c r="D50" i="18"/>
  <c r="G50" i="18"/>
  <c r="F50"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<sst xmlns="http://schemas.openxmlformats.org/spreadsheetml/2006/main" count="2407" uniqueCount="881">
  <si>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</si>
  <si>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</si>
  <si>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</si>
  <si>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</si>
  <si>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</si>
  <si>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</si>
  <si>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</si>
  <si>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</si>
  <si>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</si>
  <si>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</si>
  <si>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</si>
  <si>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</si>
  <si>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</si>
  <si>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</si>
  <si>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</si>
  <si>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</si>
  <si>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</si>
  <si>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</si>
  <si>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</si>
  <si>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</si>
  <si>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</si>
  <si>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</si>
  <si>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</si>
  <si>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</si>
  <si>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</si>
  <si>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</si>
  <si>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</si>
  <si>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</si>
  <si>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</si>
  <si>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</si>
  <si>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</si>
  <si>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</si>
  <si>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</si>
  <si>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</si>
  <si>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</si>
  <si>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</si>
  <si>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</si>
  <si>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</si>
  <si>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</si>
  <si>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</si>
  <si>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</si>
  <si>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</si>
  <si>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</si>
  <si>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</si>
  <si>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</si>
  <si>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</si>
  <si>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</si>
  <si>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</si>
  <si>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</si>
  <si>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</si>
  <si>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</si>
  <si>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</si>
  <si>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</si>
  <si>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</si>
  <si>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</si>
  <si>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</si>
  <si>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</si>
  <si>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</si>
  <si>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</si>
  <si>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</si>
  <si>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</si>
  <si>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</si>
  <si>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</si>
  <si>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</si>
  <si>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</si>
  <si>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</si>
  <si>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</si>
  <si>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</si>
  <si>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</si>
  <si>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</si>
  <si>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</si>
  <si>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</si>
  <si>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</si>
  <si>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</si>
  <si>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</si>
  <si>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</si>
  <si>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</si>
  <si>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</si>
  <si>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</si>
  <si>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</si>
  <si>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</si>
  <si>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</si>
  <si>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</si>
  <si>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</si>
  <si>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</si>
  <si>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</si>
  <si>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</si>
  <si>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</si>
  <si>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</si>
  <si>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</si>
  <si>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</si>
  <si>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</si>
  <si>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</si>
  <si>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</si>
  <si>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</si>
  <si>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</si>
  <si>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</si>
  <si>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</si>
  <si>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</si>
  <si>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</si>
  <si>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</si>
  <si>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</si>
  <si>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</si>
  <si>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</si>
  <si>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</si>
  <si>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</si>
  <si>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</si>
  <si>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</si>
  <si>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</si>
  <si>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</si>
  <si>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</si>
  <si>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</si>
  <si>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</si>
  <si>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</si>
  <si>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</si>
  <si>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</si>
  <si>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</si>
  <si>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</si>
  <si>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</si>
  <si>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</si>
  <si>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</si>
  <si>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</si>
  <si>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</si>
  <si>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</si>
  <si>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</si>
  <si>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</si>
  <si>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</si>
  <si>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</si>
  <si>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</si>
  <si>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</si>
  <si>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</si>
  <si>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</si>
  <si>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</si>
  <si>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</si>
  <si>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</si>
  <si>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</si>
  <si>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</si>
  <si>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</si>
  <si>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</si>
  <si>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</si>
  <si>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</si>
  <si>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</si>
  <si>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</si>
  <si>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</si>
  <si>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</si>
  <si>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</si>
  <si>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</si>
  <si>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</si>
  <si>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</si>
  <si>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</si>
  <si>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</si>
  <si>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</si>
  <si>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</si>
  <si>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</si>
  <si>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</si>
  <si>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</si>
  <si>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</si>
  <si>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</si>
  <si>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</si>
  <si>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</si>
  <si>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</si>
  <si>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</si>
  <si>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</si>
  <si>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</si>
  <si>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</si>
  <si>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</si>
  <si>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</si>
  <si>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</si>
  <si>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</si>
  <si>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</si>
  <si>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</si>
  <si>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</si>
  <si>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</si>
  <si>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</si>
  <si>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</si>
  <si>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</si>
  <si>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</si>
  <si>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</si>
  <si>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</si>
  <si>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</si>
  <si>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</si>
  <si>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</si>
  <si>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</si>
  <si>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</si>
  <si>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</si>
  <si>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</si>
  <si>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</si>
  <si>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</si>
  <si>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</si>
  <si>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</si>
  <si>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</si>
  <si>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</si>
  <si>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</si>
  <si>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</si>
  <si>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</si>
  <si>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</si>
  <si>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</si>
  <si>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</si>
  <si>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</si>
  <si>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</si>
  <si>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</si>
  <si>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</si>
  <si>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</si>
  <si>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</si>
  <si>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</si>
  <si>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</si>
  <si>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</si>
  <si>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</si>
  <si>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</si>
  <si>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</si>
  <si>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</si>
  <si>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</si>
  <si>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</si>
  <si>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</si>
  <si>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</si>
  <si>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</si>
  <si>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</si>
  <si>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</si>
  <si>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</si>
  <si>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</si>
  <si>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</si>
  <si>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</si>
  <si>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</si>
  <si>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</si>
  <si>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</si>
  <si>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</si>
  <si>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</si>
  <si>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</si>
  <si>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</si>
  <si>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</si>
  <si>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</si>
  <si>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</si>
  <si>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</si>
  <si>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</si>
  <si>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</si>
  <si>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</si>
  <si>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</si>
  <si>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</si>
  <si>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</si>
  <si>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</si>
  <si>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</si>
  <si>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</si>
  <si>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</si>
  <si>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</si>
  <si>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</si>
  <si>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</si>
  <si>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</si>
  <si>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</si>
  <si>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</si>
  <si>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</si>
  <si>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</si>
  <si>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</si>
  <si>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</si>
  <si>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</si>
  <si>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</si>
  <si>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</si>
  <si>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</si>
  <si>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</si>
  <si>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</si>
  <si>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</si>
  <si>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</si>
  <si>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</si>
  <si>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</si>
  <si>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</si>
  <si>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</si>
  <si>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</si>
  <si>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</si>
  <si>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</si>
  <si>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</si>
  <si>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</si>
  <si>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</si>
  <si>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</si>
  <si>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</si>
  <si>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</si>
  <si>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</si>
  <si>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</si>
  <si>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</si>
  <si>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</si>
  <si>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</si>
  <si>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</si>
  <si>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</si>
  <si>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</si>
  <si>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</si>
  <si>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</si>
  <si>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</si>
  <si>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</si>
  <si>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</si>
  <si>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</si>
  <si>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</si>
  <si>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</si>
  <si>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</si>
  <si>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</si>
  <si>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</si>
  <si>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</si>
  <si>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</si>
  <si>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</si>
  <si>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</si>
  <si>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</si>
  <si>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</si>
  <si>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</si>
  <si>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</si>
  <si>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</si>
  <si>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</si>
  <si>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</si>
  <si>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</si>
  <si>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</si>
  <si>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</si>
  <si>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</si>
  <si>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</si>
  <si>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</si>
  <si>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</si>
  <si>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</si>
  <si>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</si>
  <si>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</si>
  <si>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</si>
  <si>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</si>
  <si>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</si>
  <si>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</si>
  <si>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</si>
  <si>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</si>
  <si>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</si>
  <si>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</si>
  <si>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</si>
  <si>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</si>
  <si>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</si>
  <si>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</si>
  <si>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</si>
  <si>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</si>
  <si>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</si>
  <si>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</si>
  <si>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</si>
  <si>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</si>
  <si>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</si>
  <si>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</si>
  <si>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</si>
  <si>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</si>
  <si>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</si>
  <si>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</si>
  <si>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</si>
  <si>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</si>
  <si>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</si>
  <si>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</si>
  <si>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</si>
  <si>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</si>
  <si>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</si>
  <si>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</si>
  <si>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</si>
  <si>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</si>
  <si>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</si>
  <si>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</si>
  <si>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</si>
  <si>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</si>
  <si>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</si>
  <si>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</si>
  <si>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</si>
  <si>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</si>
  <si>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</si>
  <si>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</si>
  <si>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</si>
  <si>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</si>
  <si>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</si>
  <si>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</si>
  <si>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</si>
  <si>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</si>
  <si>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</si>
  <si>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</si>
  <si>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</si>
  <si>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</si>
  <si>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</si>
  <si>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</si>
  <si>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</si>
  <si>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</si>
  <si>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</si>
  <si>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</si>
  <si>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</si>
  <si>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</si>
  <si>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</si>
  <si>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</si>
  <si>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</si>
  <si>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</si>
  <si>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</si>
  <si>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</si>
  <si>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</si>
  <si>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</si>
  <si>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</si>
  <si>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</si>
  <si>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</si>
  <si>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</si>
  <si>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</si>
  <si>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</si>
  <si>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</si>
  <si>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</si>
  <si>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</si>
  <si>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</si>
  <si>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</si>
  <si>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</si>
  <si>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</si>
  <si>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</si>
  <si>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</si>
  <si>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</si>
  <si>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</si>
  <si>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</si>
  <si>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</si>
  <si>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</si>
  <si>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</si>
  <si>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</si>
  <si>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</si>
  <si>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</si>
  <si>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</si>
  <si>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</si>
  <si>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</si>
  <si>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</si>
  <si>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</si>
  <si>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</si>
  <si>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</si>
  <si>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</si>
  <si>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</si>
  <si>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</si>
  <si>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</si>
  <si>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</si>
  <si>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</si>
  <si>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</si>
  <si>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</si>
  <si>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</si>
  <si>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</si>
  <si>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</si>
  <si>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</si>
  <si>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</si>
  <si>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</si>
  <si>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</si>
  <si>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</si>
  <si>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</si>
  <si>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</si>
  <si>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</si>
  <si>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</si>
  <si>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</si>
  <si>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</si>
  <si>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</si>
  <si>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</si>
  <si>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</si>
  <si>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</si>
  <si>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</si>
  <si>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</si>
  <si>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</si>
  <si>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</si>
  <si>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</si>
  <si>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</si>
  <si>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</si>
  <si>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</si>
  <si>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</si>
  <si>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</si>
  <si>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</si>
  <si>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</si>
  <si>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</si>
  <si>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</si>
  <si>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</si>
  <si>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</si>
  <si>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</si>
  <si>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</si>
  <si>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</si>
  <si>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</si>
  <si>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</si>
  <si>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</si>
  <si>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</si>
  <si>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</si>
  <si>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</si>
  <si>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</si>
  <si>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</si>
  <si>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</si>
  <si>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</si>
  <si>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</si>
  <si>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</si>
  <si>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</si>
  <si>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</si>
  <si>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</si>
  <si>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</si>
  <si>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</si>
  <si>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</si>
  <si>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</si>
  <si>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</si>
  <si>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</si>
  <si>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</si>
  <si>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</si>
  <si>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</si>
  <si>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</si>
  <si>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</si>
  <si>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</si>
  <si>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</si>
  <si>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</si>
  <si>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</si>
  <si>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</si>
  <si>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</si>
  <si>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</si>
  <si>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</si>
  <si>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</si>
  <si>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</si>
  <si>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</si>
  <si>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</si>
  <si>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</si>
  <si>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</si>
  <si>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</si>
  <si>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</si>
  <si>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</si>
  <si>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</si>
  <si>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</si>
  <si>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</si>
  <si>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</si>
  <si>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</si>
  <si>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</si>
  <si>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</si>
  <si>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</si>
  <si>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</si>
  <si>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</si>
  <si>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</si>
  <si>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</si>
  <si>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</si>
  <si>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</si>
  <si>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</si>
  <si>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</si>
  <si>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</si>
  <si>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</si>
  <si>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</si>
  <si>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</si>
  <si>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</si>
  <si>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</si>
  <si>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</si>
  <si>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</si>
  <si>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</si>
  <si>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</si>
  <si>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</si>
  <si>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</si>
  <si>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</si>
  <si>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</si>
  <si>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</si>
  <si>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</si>
  <si>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</si>
  <si>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</si>
  <si>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</si>
  <si>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</si>
  <si>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</si>
  <si>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</si>
  <si>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</si>
  <si>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</si>
  <si>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</si>
  <si>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</si>
  <si>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</si>
  <si>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</si>
  <si>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</si>
  <si>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</si>
  <si>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</si>
  <si>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</si>
  <si>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</si>
  <si>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</si>
  <si>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</si>
  <si>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</si>
  <si>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</si>
  <si>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</si>
  <si>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</si>
  <si>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</si>
  <si>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</si>
  <si>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</si>
  <si>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</si>
  <si>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</si>
  <si>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</si>
  <si>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</si>
  <si>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</si>
  <si>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</si>
  <si>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</si>
  <si>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</si>
  <si>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</si>
  <si>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</si>
  <si>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</si>
  <si>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</si>
  <si>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</si>
  <si>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</si>
  <si>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</si>
  <si>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</si>
  <si>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</si>
  <si>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</si>
  <si>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</si>
  <si>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</si>
  <si>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</si>
  <si>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</si>
  <si>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</si>
  <si>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</si>
  <si>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</si>
  <si>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</si>
  <si>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</si>
  <si>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</si>
  <si>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</si>
  <si>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</si>
  <si>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</si>
  <si>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</si>
  <si>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</si>
  <si>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</si>
  <si>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</si>
  <si>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</si>
  <si>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</si>
  <si>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</si>
  <si>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</si>
  <si>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</si>
  <si>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</si>
  <si>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</si>
  <si>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</si>
  <si>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</si>
  <si>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</si>
  <si>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</si>
  <si>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</si>
  <si>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</si>
  <si>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</si>
  <si>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</si>
  <si>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</si>
  <si>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</si>
  <si>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</si>
  <si>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</si>
  <si>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</si>
  <si>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</si>
  <si>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</si>
  <si>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</si>
  <si>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</si>
  <si>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</si>
  <si>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</si>
  <si>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</si>
  <si>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</si>
  <si>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</si>
  <si>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</si>
  <si>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</si>
  <si>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</si>
  <si>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</si>
  <si>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</si>
  <si>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</si>
  <si>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</si>
  <si>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</si>
  <si>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</si>
  <si>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</si>
  <si>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</si>
  <si>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</si>
  <si>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</si>
  <si>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</si>
  <si>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</si>
  <si>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</si>
  <si>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</si>
  <si>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</si>
  <si>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</si>
  <si>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</si>
  <si>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</si>
  <si>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</si>
  <si>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</si>
  <si>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</si>
  <si>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</si>
  <si>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</si>
  <si>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</si>
  <si>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</si>
  <si>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</si>
  <si>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</si>
  <si>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</si>
  <si>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</si>
  <si>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</si>
  <si>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</si>
  <si>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</si>
  <si>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</si>
  <si>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</si>
  <si>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</si>
  <si>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</si>
  <si>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</si>
  <si>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</si>
  <si>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</si>
  <si>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</si>
  <si>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</si>
  <si>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</si>
  <si>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</si>
  <si>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</si>
  <si>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</si>
  <si>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</si>
  <si>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</si>
  <si>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</si>
  <si>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</si>
  <si>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</si>
  <si>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</si>
  <si>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</si>
  <si>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</si>
  <si>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</si>
  <si>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</si>
  <si>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</si>
  <si>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</si>
  <si>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</si>
  <si>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</si>
  <si>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</si>
  <si>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</si>
  <si>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</si>
  <si>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</si>
  <si>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</si>
  <si>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</si>
  <si>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</si>
  <si>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</si>
  <si>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</si>
  <si>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</si>
  <si>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</si>
  <si>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</si>
  <si>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</si>
  <si>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</si>
  <si>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</si>
  <si>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</si>
  <si>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</si>
  <si>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</si>
  <si>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</si>
  <si>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</si>
  <si>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</si>
  <si>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</si>
  <si>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</si>
  <si>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</si>
  <si>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</si>
  <si>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</si>
  <si>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</si>
  <si>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</si>
  <si>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</si>
  <si>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</si>
  <si>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</si>
  <si>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</si>
  <si>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</si>
  <si>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</si>
  <si>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</si>
  <si>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</si>
  <si>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</si>
  <si>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</si>
  <si>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</si>
  <si>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</si>
  <si>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</si>
  <si>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</si>
  <si>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</si>
  <si>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</si>
  <si>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</si>
  <si>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</si>
  <si>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</si>
  <si>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</si>
  <si>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</si>
  <si>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</si>
  <si>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</si>
  <si>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</si>
  <si>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</si>
  <si>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</si>
  <si>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</si>
  <si>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</si>
  <si>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</si>
  <si>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</si>
  <si>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</si>
  <si>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</si>
  <si>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</si>
  <si>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</si>
  <si>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</si>
  <si>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</si>
  <si>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</si>
  <si>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</si>
  <si>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</si>
  <si>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</si>
  <si>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</si>
  <si>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</si>
  <si>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</si>
  <si>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</si>
  <si>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</si>
  <si>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</si>
  <si>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</si>
  <si>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</si>
  <si>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</si>
  <si>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</si>
  <si>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</si>
  <si>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</si>
  <si>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</si>
  <si>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</si>
  <si>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</si>
  <si>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</si>
  <si>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</si>
  <si>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</si>
  <si>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</si>
  <si>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</si>
  <si>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</si>
  <si>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</si>
  <si>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</si>
  <si>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</si>
  <si>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</si>
  <si>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</si>
  <si>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</si>
  <si>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</si>
  <si>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</si>
  <si>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</si>
  <si>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</si>
  <si>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</si>
  <si>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</si>
  <si>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</si>
  <si>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</si>
  <si>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</si>
  <si>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</si>
  <si>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</si>
  <si>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</si>
  <si>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</si>
  <si>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</si>
  <si>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</si>
  <si>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</si>
  <si>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</si>
  <si>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</si>
  <si>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</si>
  <si>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</si>
  <si>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</si>
  <si>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</si>
  <si>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</si>
  <si>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</si>
  <si>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</si>
  <si>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</si>
  <si>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</si>
  <si>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</si>
  <si>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</si>
  <si>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</si>
  <si>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</si>
  <si>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</si>
  <si>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</si>
  <si>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</si>
  <si>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</si>
  <si>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</si>
  <si>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</si>
  <si>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</si>
  <si>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</si>
  <si>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</si>
  <si>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</si>
  <si>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</si>
  <si>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</si>
  <si>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</si>
  <si>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</si>
  <si>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</si>
  <si>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</si>
  <si>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</si>
  <si>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</si>
  <si>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</si>
  <si>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</si>
  <si>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</si>
  <si>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</si>
  <si>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</si>
  <si>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</si>
  <si>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</si>
  <si>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</si>
  <si>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</si>
  <si>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</si>
  <si>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</si>
  <si>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</si>
  <si>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</si>
  <si>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</si>
  <si>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</si>
  <si>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</si>
  <si>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</si>
  <si>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</si>
  <si>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</si>
  <si>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</si>
  <si>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</si>
  <si>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</si>
  <si>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</si>
  <si>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</si>
  <si>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</si>
  <si>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</si>
  <si>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</si>
  <si>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</si>
  <si>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</si>
  <si>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</si>
  <si>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</si>
  <si>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</si>
  <si>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</si>
  <si>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</si>
  <si>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</si>
  <si>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</si>
  <si>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</si>
  <si>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</si>
  <si>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</si>
  <si>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</si>
  <si>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</si>
  <si>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</si>
  <si>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</si>
  <si>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</si>
  <si>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11021</t>
  </si>
  <si>
    <t>HOVE</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</si>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</sst>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362A5CE1-0162-42B9-BD0F-8C1516518548}"/>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75916.803885682326</c:v>
                </c:pt>
                <c:pt idx="1">
                  <c:v>20663.30629384354</c:v>
                </c:pt>
                <c:pt idx="2">
                  <c:v>624.92600000000004</c:v>
                </c:pt>
                <c:pt idx="3">
                  <c:v>1449.262788408847</c:v>
                </c:pt>
                <c:pt idx="4">
                  <c:v>2696.2182618195156</c:v>
                </c:pt>
                <c:pt idx="5">
                  <c:v>12995.094696104274</c:v>
                </c:pt>
                <c:pt idx="6">
                  <c:v>921.3879164844443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75916.803885682326</c:v>
                </c:pt>
                <c:pt idx="1">
                  <c:v>20663.30629384354</c:v>
                </c:pt>
                <c:pt idx="2">
                  <c:v>624.92600000000004</c:v>
                </c:pt>
                <c:pt idx="3">
                  <c:v>1449.262788408847</c:v>
                </c:pt>
                <c:pt idx="4">
                  <c:v>2696.2182618195156</c:v>
                </c:pt>
                <c:pt idx="5">
                  <c:v>12995.094696104274</c:v>
                </c:pt>
                <c:pt idx="6">
                  <c:v>921.3879164844443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14890.115316590231</c:v>
                </c:pt>
                <c:pt idx="2">
                  <c:v>4239.9139245113156</c:v>
                </c:pt>
                <c:pt idx="3">
                  <c:v>130.85971014825452</c:v>
                </c:pt>
                <c:pt idx="4">
                  <c:v>356.99855238181476</c:v>
                </c:pt>
                <c:pt idx="5">
                  <c:v>557.71626790345738</c:v>
                </c:pt>
                <c:pt idx="6">
                  <c:v>3246.0530427954973</c:v>
                </c:pt>
                <c:pt idx="7">
                  <c:v>232.2195982899818</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14890.115316590231</c:v>
                </c:pt>
                <c:pt idx="2">
                  <c:v>4239.9139245113156</c:v>
                </c:pt>
                <c:pt idx="3">
                  <c:v>130.85971014825452</c:v>
                </c:pt>
                <c:pt idx="4">
                  <c:v>356.99855238181476</c:v>
                </c:pt>
                <c:pt idx="5">
                  <c:v>557.71626790345738</c:v>
                </c:pt>
                <c:pt idx="6">
                  <c:v>3246.0530427954973</c:v>
                </c:pt>
                <c:pt idx="7">
                  <c:v>232.2195982899818</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11021</v>
      </c>
      <c r="B6" s="380"/>
      <c r="C6" s="381"/>
    </row>
    <row r="7" spans="1:7" s="378" customFormat="1" ht="15.75" customHeight="1">
      <c r="A7" s="382" t="str">
        <f>txtMunicipality</f>
        <v>HOVE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0.20940032923618879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0.20940032923618879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3210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151.4</v>
      </c>
      <c r="C14" s="322"/>
      <c r="D14" s="322"/>
      <c r="E14" s="322"/>
      <c r="F14" s="322"/>
    </row>
    <row r="15" spans="1:6">
      <c r="A15" s="1248" t="s">
        <v>177</v>
      </c>
      <c r="B15" s="1249">
        <v>13</v>
      </c>
      <c r="C15" s="322"/>
      <c r="D15" s="322"/>
      <c r="E15" s="322"/>
      <c r="F15" s="322"/>
    </row>
    <row r="16" spans="1:6">
      <c r="A16" s="1248" t="s">
        <v>6</v>
      </c>
      <c r="B16" s="1249">
        <v>549</v>
      </c>
      <c r="C16" s="322"/>
      <c r="D16" s="322"/>
      <c r="E16" s="322"/>
      <c r="F16" s="322"/>
    </row>
    <row r="17" spans="1:6">
      <c r="A17" s="1248" t="s">
        <v>7</v>
      </c>
      <c r="B17" s="1249">
        <v>9</v>
      </c>
      <c r="C17" s="322"/>
      <c r="D17" s="322"/>
      <c r="E17" s="322"/>
      <c r="F17" s="322"/>
    </row>
    <row r="18" spans="1:6">
      <c r="A18" s="1248" t="s">
        <v>8</v>
      </c>
      <c r="B18" s="1249">
        <v>276</v>
      </c>
      <c r="C18" s="322"/>
      <c r="D18" s="322"/>
      <c r="E18" s="322"/>
      <c r="F18" s="322"/>
    </row>
    <row r="19" spans="1:6">
      <c r="A19" s="1248" t="s">
        <v>9</v>
      </c>
      <c r="B19" s="1249">
        <v>241</v>
      </c>
      <c r="C19" s="322"/>
      <c r="D19" s="322"/>
      <c r="E19" s="322"/>
      <c r="F19" s="322"/>
    </row>
    <row r="20" spans="1:6">
      <c r="A20" s="1248" t="s">
        <v>10</v>
      </c>
      <c r="B20" s="1249">
        <v>114</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77</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0</v>
      </c>
      <c r="C29" s="322"/>
      <c r="D29" s="322"/>
      <c r="E29" s="322"/>
      <c r="F29" s="322"/>
    </row>
    <row r="30" spans="1:6">
      <c r="A30" s="1243" t="s">
        <v>692</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3323.1917314553998</v>
      </c>
    </row>
    <row r="39" spans="1:6">
      <c r="A39" s="1248" t="s">
        <v>29</v>
      </c>
      <c r="B39" s="1248" t="s">
        <v>30</v>
      </c>
      <c r="C39" s="1249">
        <v>2636</v>
      </c>
      <c r="D39" s="1249">
        <v>52672062.629808001</v>
      </c>
      <c r="E39" s="1249">
        <v>3165</v>
      </c>
      <c r="F39" s="1249">
        <v>12574980.4671461</v>
      </c>
    </row>
    <row r="40" spans="1:6">
      <c r="A40" s="1248" t="s">
        <v>29</v>
      </c>
      <c r="B40" s="1248" t="s">
        <v>28</v>
      </c>
      <c r="C40" s="1249">
        <v>0</v>
      </c>
      <c r="D40" s="1249">
        <v>0</v>
      </c>
      <c r="E40" s="1249">
        <v>0</v>
      </c>
      <c r="F40" s="1249">
        <v>0</v>
      </c>
    </row>
    <row r="41" spans="1:6">
      <c r="A41" s="1248" t="s">
        <v>31</v>
      </c>
      <c r="B41" s="1248" t="s">
        <v>32</v>
      </c>
      <c r="C41" s="1249">
        <v>15</v>
      </c>
      <c r="D41" s="1249">
        <v>363661.20492072101</v>
      </c>
      <c r="E41" s="1249">
        <v>25</v>
      </c>
      <c r="F41" s="1249">
        <v>163508.218031392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0</v>
      </c>
      <c r="F44" s="1249">
        <v>0</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11</v>
      </c>
      <c r="D48" s="1249">
        <v>393335.81037933799</v>
      </c>
      <c r="E48" s="1249">
        <v>20</v>
      </c>
      <c r="F48" s="1249">
        <v>194105.593697915</v>
      </c>
    </row>
    <row r="49" spans="1:6">
      <c r="A49" s="1248" t="s">
        <v>31</v>
      </c>
      <c r="B49" s="1248" t="s">
        <v>39</v>
      </c>
      <c r="C49" s="1249">
        <v>0</v>
      </c>
      <c r="D49" s="1249">
        <v>0</v>
      </c>
      <c r="E49" s="1249">
        <v>0</v>
      </c>
      <c r="F49" s="1249">
        <v>0</v>
      </c>
    </row>
    <row r="50" spans="1:6">
      <c r="A50" s="1248" t="s">
        <v>31</v>
      </c>
      <c r="B50" s="1248" t="s">
        <v>40</v>
      </c>
      <c r="C50" s="1249">
        <v>7</v>
      </c>
      <c r="D50" s="1249">
        <v>940768.53720276698</v>
      </c>
      <c r="E50" s="1249">
        <v>8</v>
      </c>
      <c r="F50" s="1249">
        <v>585190.52038803406</v>
      </c>
    </row>
    <row r="51" spans="1:6">
      <c r="A51" s="1248" t="s">
        <v>41</v>
      </c>
      <c r="B51" s="1248" t="s">
        <v>42</v>
      </c>
      <c r="C51" s="1249">
        <v>0</v>
      </c>
      <c r="D51" s="1249">
        <v>0</v>
      </c>
      <c r="E51" s="1249">
        <v>4</v>
      </c>
      <c r="F51" s="1249">
        <v>227214.20073313001</v>
      </c>
    </row>
    <row r="52" spans="1:6">
      <c r="A52" s="1248" t="s">
        <v>41</v>
      </c>
      <c r="B52" s="1248" t="s">
        <v>28</v>
      </c>
      <c r="C52" s="1249">
        <v>3</v>
      </c>
      <c r="D52" s="1249">
        <v>63014.438065481103</v>
      </c>
      <c r="E52" s="1249">
        <v>5</v>
      </c>
      <c r="F52" s="1249">
        <v>39618.995667773001</v>
      </c>
    </row>
    <row r="53" spans="1:6">
      <c r="A53" s="1248" t="s">
        <v>43</v>
      </c>
      <c r="B53" s="1248" t="s">
        <v>44</v>
      </c>
      <c r="C53" s="1249">
        <v>66</v>
      </c>
      <c r="D53" s="1249">
        <v>1399561.6202992001</v>
      </c>
      <c r="E53" s="1249">
        <v>109</v>
      </c>
      <c r="F53" s="1249">
        <v>414266.35551522399</v>
      </c>
    </row>
    <row r="54" spans="1:6">
      <c r="A54" s="1248" t="s">
        <v>45</v>
      </c>
      <c r="B54" s="1248" t="s">
        <v>46</v>
      </c>
      <c r="C54" s="1249">
        <v>0</v>
      </c>
      <c r="D54" s="1249">
        <v>0</v>
      </c>
      <c r="E54" s="1249">
        <v>1</v>
      </c>
      <c r="F54" s="1249">
        <v>624926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16</v>
      </c>
      <c r="D57" s="1249">
        <v>499378.645128701</v>
      </c>
      <c r="E57" s="1249">
        <v>37</v>
      </c>
      <c r="F57" s="1249">
        <v>599485.61787703296</v>
      </c>
    </row>
    <row r="58" spans="1:6">
      <c r="A58" s="1248" t="s">
        <v>48</v>
      </c>
      <c r="B58" s="1248" t="s">
        <v>50</v>
      </c>
      <c r="C58" s="1249">
        <v>26</v>
      </c>
      <c r="D58" s="1249">
        <v>1384761.2120896999</v>
      </c>
      <c r="E58" s="1249">
        <v>36</v>
      </c>
      <c r="F58" s="1249">
        <v>690938.66325477697</v>
      </c>
    </row>
    <row r="59" spans="1:6">
      <c r="A59" s="1248" t="s">
        <v>48</v>
      </c>
      <c r="B59" s="1248" t="s">
        <v>51</v>
      </c>
      <c r="C59" s="1249">
        <v>29</v>
      </c>
      <c r="D59" s="1249">
        <v>782761.227018859</v>
      </c>
      <c r="E59" s="1249">
        <v>46</v>
      </c>
      <c r="F59" s="1249">
        <v>1015696.31207415</v>
      </c>
    </row>
    <row r="60" spans="1:6">
      <c r="A60" s="1248" t="s">
        <v>48</v>
      </c>
      <c r="B60" s="1248" t="s">
        <v>52</v>
      </c>
      <c r="C60" s="1249">
        <v>16</v>
      </c>
      <c r="D60" s="1249">
        <v>764071.74722436105</v>
      </c>
      <c r="E60" s="1249">
        <v>18</v>
      </c>
      <c r="F60" s="1249">
        <v>629453.45138990099</v>
      </c>
    </row>
    <row r="61" spans="1:6">
      <c r="A61" s="1248" t="s">
        <v>48</v>
      </c>
      <c r="B61" s="1248" t="s">
        <v>53</v>
      </c>
      <c r="C61" s="1249">
        <v>123</v>
      </c>
      <c r="D61" s="1249">
        <v>4660204.7262740396</v>
      </c>
      <c r="E61" s="1249">
        <v>200</v>
      </c>
      <c r="F61" s="1249">
        <v>2340245.7880728301</v>
      </c>
    </row>
    <row r="62" spans="1:6">
      <c r="A62" s="1248" t="s">
        <v>48</v>
      </c>
      <c r="B62" s="1248" t="s">
        <v>54</v>
      </c>
      <c r="C62" s="1249">
        <v>0</v>
      </c>
      <c r="D62" s="1249">
        <v>0</v>
      </c>
      <c r="E62" s="1249">
        <v>0</v>
      </c>
      <c r="F62" s="1249">
        <v>0</v>
      </c>
    </row>
    <row r="63" spans="1:6">
      <c r="A63" s="1248" t="s">
        <v>48</v>
      </c>
      <c r="B63" s="1248" t="s">
        <v>28</v>
      </c>
      <c r="C63" s="1249">
        <v>84</v>
      </c>
      <c r="D63" s="1249">
        <v>4501115.1491700504</v>
      </c>
      <c r="E63" s="1249">
        <v>88</v>
      </c>
      <c r="F63" s="1249">
        <v>2170895.2946781302</v>
      </c>
    </row>
    <row r="64" spans="1:6">
      <c r="A64" s="1248" t="s">
        <v>55</v>
      </c>
      <c r="B64" s="1248" t="s">
        <v>56</v>
      </c>
      <c r="C64" s="1249">
        <v>0</v>
      </c>
      <c r="D64" s="1249">
        <v>0</v>
      </c>
      <c r="E64" s="1249">
        <v>0</v>
      </c>
      <c r="F64" s="1249">
        <v>0</v>
      </c>
    </row>
    <row r="65" spans="1:6">
      <c r="A65" s="1248" t="s">
        <v>55</v>
      </c>
      <c r="B65" s="1248" t="s">
        <v>28</v>
      </c>
      <c r="C65" s="1249">
        <v>1</v>
      </c>
      <c r="D65" s="1249">
        <v>48031.078320156201</v>
      </c>
      <c r="E65" s="1249">
        <v>4</v>
      </c>
      <c r="F65" s="1249">
        <v>17026.4933318486</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13959550</v>
      </c>
      <c r="E73" s="439"/>
      <c r="F73" s="322"/>
    </row>
    <row r="74" spans="1:6">
      <c r="A74" s="1248" t="s">
        <v>63</v>
      </c>
      <c r="B74" s="1248" t="s">
        <v>617</v>
      </c>
      <c r="C74" s="1261" t="s">
        <v>619</v>
      </c>
      <c r="D74" s="1249">
        <v>424369.5</v>
      </c>
      <c r="E74" s="439"/>
      <c r="F74" s="322"/>
    </row>
    <row r="75" spans="1:6">
      <c r="A75" s="1248" t="s">
        <v>64</v>
      </c>
      <c r="B75" s="1248" t="s">
        <v>616</v>
      </c>
      <c r="C75" s="1261" t="s">
        <v>620</v>
      </c>
      <c r="D75" s="1249">
        <v>3521713</v>
      </c>
      <c r="E75" s="439"/>
      <c r="F75" s="322"/>
    </row>
    <row r="76" spans="1:6">
      <c r="A76" s="1248" t="s">
        <v>64</v>
      </c>
      <c r="B76" s="1248" t="s">
        <v>617</v>
      </c>
      <c r="C76" s="1261" t="s">
        <v>621</v>
      </c>
      <c r="D76" s="1249">
        <v>5427.6</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250605</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1144.9643736886376</v>
      </c>
      <c r="C91" s="322"/>
      <c r="D91" s="322"/>
      <c r="E91" s="322"/>
      <c r="F91" s="322"/>
    </row>
    <row r="92" spans="1:6">
      <c r="A92" s="1243" t="s">
        <v>68</v>
      </c>
      <c r="B92" s="1244">
        <v>0</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2061</v>
      </c>
      <c r="C97" s="322"/>
      <c r="D97" s="322"/>
      <c r="E97" s="322"/>
      <c r="F97" s="322"/>
    </row>
    <row r="98" spans="1:6">
      <c r="A98" s="1248" t="s">
        <v>71</v>
      </c>
      <c r="B98" s="1249">
        <v>1</v>
      </c>
      <c r="C98" s="322"/>
      <c r="D98" s="322"/>
      <c r="E98" s="322"/>
      <c r="F98" s="322"/>
    </row>
    <row r="99" spans="1:6">
      <c r="A99" s="1248" t="s">
        <v>72</v>
      </c>
      <c r="B99" s="1249">
        <v>4</v>
      </c>
      <c r="C99" s="322"/>
      <c r="D99" s="322"/>
      <c r="E99" s="322"/>
      <c r="F99" s="322"/>
    </row>
    <row r="100" spans="1:6">
      <c r="A100" s="1248" t="s">
        <v>73</v>
      </c>
      <c r="B100" s="1249">
        <v>226</v>
      </c>
      <c r="C100" s="322"/>
      <c r="D100" s="322"/>
      <c r="E100" s="322"/>
      <c r="F100" s="322"/>
    </row>
    <row r="101" spans="1:6">
      <c r="A101" s="1248" t="s">
        <v>74</v>
      </c>
      <c r="B101" s="1249">
        <v>12</v>
      </c>
      <c r="C101" s="322"/>
      <c r="D101" s="322"/>
      <c r="E101" s="322"/>
      <c r="F101" s="322"/>
    </row>
    <row r="102" spans="1:6">
      <c r="A102" s="1248" t="s">
        <v>75</v>
      </c>
      <c r="B102" s="1249">
        <v>31</v>
      </c>
      <c r="C102" s="322"/>
      <c r="D102" s="322"/>
      <c r="E102" s="322"/>
      <c r="F102" s="322"/>
    </row>
    <row r="103" spans="1:6">
      <c r="A103" s="1248" t="s">
        <v>76</v>
      </c>
      <c r="B103" s="1249">
        <v>25</v>
      </c>
      <c r="C103" s="322"/>
      <c r="D103" s="322"/>
      <c r="E103" s="322"/>
      <c r="F103" s="322"/>
    </row>
    <row r="104" spans="1:6">
      <c r="A104" s="1248" t="s">
        <v>77</v>
      </c>
      <c r="B104" s="1249">
        <v>568</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69</v>
      </c>
      <c r="C123" s="1249">
        <v>6</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59</v>
      </c>
      <c r="C129" s="322"/>
      <c r="D129" s="322"/>
      <c r="E129" s="322"/>
      <c r="F129" s="322"/>
    </row>
    <row r="130" spans="1:6">
      <c r="A130" s="1248" t="s">
        <v>283</v>
      </c>
      <c r="B130" s="1249">
        <v>1</v>
      </c>
      <c r="C130" s="322"/>
      <c r="D130" s="322"/>
      <c r="E130" s="322"/>
      <c r="F130" s="322"/>
    </row>
    <row r="131" spans="1:6">
      <c r="A131" s="1248" t="s">
        <v>284</v>
      </c>
      <c r="B131" s="1249">
        <v>0</v>
      </c>
      <c r="C131" s="322"/>
      <c r="D131" s="322"/>
      <c r="E131" s="322"/>
      <c r="F131" s="322"/>
    </row>
    <row r="132" spans="1:6">
      <c r="A132" s="1243" t="s">
        <v>285</v>
      </c>
      <c r="B132" s="1244">
        <v>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23477.427258953605</v>
      </c>
      <c r="C3" s="43" t="s">
        <v>163</v>
      </c>
      <c r="D3" s="43"/>
      <c r="E3" s="153"/>
      <c r="F3" s="43"/>
      <c r="G3" s="43"/>
      <c r="H3" s="43"/>
      <c r="I3" s="43"/>
      <c r="J3" s="43"/>
      <c r="K3" s="96"/>
    </row>
    <row r="4" spans="1:11">
      <c r="A4" s="348" t="s">
        <v>164</v>
      </c>
      <c r="B4" s="49">
        <f>IF(ISERROR('SEAP template'!B78+'SEAP template'!C78),0,'SEAP template'!B78+'SEAP template'!C78)</f>
        <v>1232.2643736886375</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0.20940032923618879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124.71428571428569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624.92600000000004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624.92600000000004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0.20940032923618879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130.85971014825452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12574.980467146101</v>
      </c>
      <c r="C5" s="17">
        <f>IF(ISERROR('Eigen informatie GS &amp; warmtenet'!B57),0,'Eigen informatie GS &amp; warmtenet'!B57)</f>
        <v>0</v>
      </c>
      <c r="D5" s="30">
        <f>(SUM(HH_hh_gas_kWh,HH_rest_gas_kWh)/1000)*0.902</f>
        <v>47510.20049208682</v>
      </c>
      <c r="E5" s="17">
        <f>B32*B41</f>
        <v>374.74233055342762</v>
      </c>
      <c r="F5" s="17">
        <f>B36*B45</f>
        <v>8686.2356666241812</v>
      </c>
      <c r="G5" s="18"/>
      <c r="H5" s="17"/>
      <c r="I5" s="17"/>
      <c r="J5" s="17">
        <f>B35*B44+C35*C44</f>
        <v>44.639599975319967</v>
      </c>
      <c r="K5" s="17"/>
      <c r="L5" s="17"/>
      <c r="M5" s="17"/>
      <c r="N5" s="17">
        <f>B34*B43+C34*C43</f>
        <v>4011.2909556078484</v>
      </c>
      <c r="O5" s="17">
        <f>B52*B53*B54</f>
        <v>101.61666666666667</v>
      </c>
      <c r="P5" s="17">
        <f>B60*B61*B62/1000-B60*B61*B62/1000/B63</f>
        <v>1468.1333333333332</v>
      </c>
    </row>
    <row r="6" spans="1:16">
      <c r="A6" s="16" t="s">
        <v>582</v>
      </c>
      <c r="B6" s="716">
        <f>kWh_PV_kleiner_dan_10kW</f>
        <v>1144.9643736886376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13719.944840834738</v>
      </c>
      <c r="C8" s="21">
        <f>C5</f>
        <v>0</v>
      </c>
      <c r="D8" s="21">
        <f>D5</f>
        <v>47510.20049208682</v>
      </c>
      <c r="E8" s="21">
        <f>E5</f>
        <v>374.74233055342762</v>
      </c>
      <c r="F8" s="21">
        <f>F5</f>
        <v>8686.2356666241812</v>
      </c>
      <c r="G8" s="21"/>
      <c r="H8" s="21"/>
      <c r="I8" s="21"/>
      <c r="J8" s="21">
        <f>J5</f>
        <v>44.639599975319967</v>
      </c>
      <c r="K8" s="21"/>
      <c r="L8" s="21">
        <f>L5</f>
        <v>0</v>
      </c>
      <c r="M8" s="21">
        <f>M5</f>
        <v>0</v>
      </c>
      <c r="N8" s="21">
        <f>N5</f>
        <v>4011.2909556078484</v>
      </c>
      <c r="O8" s="21">
        <f>O5</f>
        <v>101.61666666666667</v>
      </c>
      <c r="P8" s="21">
        <f>P5</f>
        <v>1468.1333333333332</v>
      </c>
    </row>
    <row r="9" spans="1:16">
      <c r="B9" s="19"/>
      <c r="C9" s="19"/>
      <c r="D9" s="253"/>
      <c r="E9" s="19"/>
      <c r="F9" s="19"/>
      <c r="G9" s="19"/>
      <c r="H9" s="19"/>
      <c r="I9" s="19"/>
      <c r="J9" s="19"/>
      <c r="K9" s="19"/>
      <c r="L9" s="19"/>
      <c r="M9" s="19"/>
      <c r="N9" s="19"/>
      <c r="O9" s="19"/>
      <c r="P9" s="19"/>
    </row>
    <row r="10" spans="1:16">
      <c r="A10" s="24" t="s">
        <v>207</v>
      </c>
      <c r="B10" s="25">
        <f ca="1">'EF ele_warmte'!B12</f>
        <v>0.20940032923618879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2872.9609667731438</v>
      </c>
      <c r="C12" s="23">
        <f ca="1">C10*C8</f>
        <v>0</v>
      </c>
      <c r="D12" s="23">
        <f>D8*D10</f>
        <v>9597.0604994015375</v>
      </c>
      <c r="E12" s="23">
        <f>E10*E8</f>
        <v>85.066509035628073</v>
      </c>
      <c r="F12" s="23">
        <f>F10*F8</f>
        <v>2319.2249229886565</v>
      </c>
      <c r="G12" s="23"/>
      <c r="H12" s="23"/>
      <c r="I12" s="23"/>
      <c r="J12" s="23">
        <f>J10*J8</f>
        <v>15.802418391263268</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3210</v>
      </c>
      <c r="C26" s="36"/>
      <c r="D26" s="224"/>
    </row>
    <row r="27" spans="1:5" s="15" customFormat="1">
      <c r="A27" s="226" t="s">
        <v>736</v>
      </c>
      <c r="B27" s="37">
        <f>SUM(HH_hh_gas_aantal,HH_rest_gas_aantal)</f>
        <v>2636</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2504.1999999999998</v>
      </c>
      <c r="C31" s="34" t="s">
        <v>104</v>
      </c>
      <c r="D31" s="170"/>
    </row>
    <row r="32" spans="1:5">
      <c r="A32" s="167" t="s">
        <v>72</v>
      </c>
      <c r="B32" s="33">
        <f>IF((B21*($B$26-($B$27-0.05*$B$27)-$B$60))&lt;0,0,B21*($B$26-($B$27-0.05*$B$27)-$B$60))</f>
        <v>6.9248694177855921</v>
      </c>
      <c r="C32" s="34" t="s">
        <v>104</v>
      </c>
      <c r="D32" s="170"/>
    </row>
    <row r="33" spans="1:6">
      <c r="A33" s="167" t="s">
        <v>73</v>
      </c>
      <c r="B33" s="33">
        <f>IF((B22*($B$26-($B$27-0.05*$B$27)-$B$60))&lt;0,0,B22*($B$26-($B$27-0.05*$B$27)-$B$60))</f>
        <v>143.97385048839112</v>
      </c>
      <c r="C33" s="34" t="s">
        <v>104</v>
      </c>
      <c r="D33" s="170"/>
    </row>
    <row r="34" spans="1:6">
      <c r="A34" s="167" t="s">
        <v>74</v>
      </c>
      <c r="B34" s="33">
        <f>IF((B24*($B$26-($B$27-0.05*$B$27)-$B$60))&lt;0,0,B24*($B$26-($B$27-0.05*$B$27)-$B$60))</f>
        <v>56.19250026818392</v>
      </c>
      <c r="C34" s="33">
        <f>B26*C24</f>
        <v>568.57009041046717</v>
      </c>
      <c r="D34" s="229"/>
    </row>
    <row r="35" spans="1:6">
      <c r="A35" s="167" t="s">
        <v>76</v>
      </c>
      <c r="B35" s="33">
        <f>IF((B19*($B$26-($B$27-0.05*$B$27)-$B$60))&lt;0,0,B19*($B$26-($B$27-0.05*$B$27)-$B$60))</f>
        <v>5.2413794359028749</v>
      </c>
      <c r="C35" s="33">
        <f>B35/2</f>
        <v>2.6206897179514375</v>
      </c>
      <c r="D35" s="229"/>
    </row>
    <row r="36" spans="1:6">
      <c r="A36" s="167" t="s">
        <v>77</v>
      </c>
      <c r="B36" s="33">
        <f>IF((B18*($B$26-($B$27-0.05*$B$27)-$B$60))&lt;0,0,B18*($B$26-($B$27-0.05*$B$27)-$B$60))</f>
        <v>416.46740038973667</v>
      </c>
      <c r="C36" s="34" t="s">
        <v>104</v>
      </c>
      <c r="D36" s="170"/>
    </row>
    <row r="37" spans="1:6">
      <c r="A37" s="167" t="s">
        <v>78</v>
      </c>
      <c r="B37" s="33">
        <f>B60</f>
        <v>77</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65</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77</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7446.7151273468216</v>
      </c>
      <c r="C5" s="17">
        <f>IF(ISERROR('Eigen informatie GS &amp; warmtenet'!B58),0,'Eigen informatie GS &amp; warmtenet'!B58)</f>
        <v>0</v>
      </c>
      <c r="D5" s="30">
        <f>SUM(D6:D12)</f>
        <v>11358.248021628951</v>
      </c>
      <c r="E5" s="17">
        <f>SUM(E6:E12)</f>
        <v>73.795816384071216</v>
      </c>
      <c r="F5" s="17">
        <f>SUM(F6:F12)</f>
        <v>1349.46575117815</v>
      </c>
      <c r="G5" s="18"/>
      <c r="H5" s="17"/>
      <c r="I5" s="17"/>
      <c r="J5" s="17">
        <f>SUM(J6:J12)</f>
        <v>1.1001392162225721E-2</v>
      </c>
      <c r="K5" s="17"/>
      <c r="L5" s="17"/>
      <c r="M5" s="17"/>
      <c r="N5" s="17">
        <f>SUM(N6:N12)</f>
        <v>452.21438543719205</v>
      </c>
      <c r="O5" s="17">
        <f>B38*B39*B40</f>
        <v>1.5633333333333335</v>
      </c>
      <c r="P5" s="17">
        <f>B46*B47*B48/1000-B46*B47*B48/1000/B49</f>
        <v>0</v>
      </c>
      <c r="R5" s="32"/>
    </row>
    <row r="6" spans="1:18">
      <c r="A6" s="32" t="s">
        <v>53</v>
      </c>
      <c r="B6" s="37">
        <f>B26</f>
        <v>2340.2457880728302</v>
      </c>
      <c r="C6" s="33"/>
      <c r="D6" s="37">
        <f>IF(ISERROR(TER_kantoor_gas_kWh/1000),0,TER_kantoor_gas_kWh/1000)*0.902</f>
        <v>4203.5046630991837</v>
      </c>
      <c r="E6" s="33">
        <f>$C$26*'E Balans VL '!I12/100/3.6*1000000</f>
        <v>-1.9216464126580669E-4</v>
      </c>
      <c r="F6" s="33">
        <f>$C$26*('E Balans VL '!L12+'E Balans VL '!N12)/100/3.6*1000000</f>
        <v>296.58257946228366</v>
      </c>
      <c r="G6" s="34"/>
      <c r="H6" s="33"/>
      <c r="I6" s="33"/>
      <c r="J6" s="33">
        <f>$C$26*('E Balans VL '!D12+'E Balans VL '!E12)/100/3.6*1000000</f>
        <v>0</v>
      </c>
      <c r="K6" s="33"/>
      <c r="L6" s="33"/>
      <c r="M6" s="33"/>
      <c r="N6" s="33">
        <f>$C$26*'E Balans VL '!Y12/100/3.6*1000000</f>
        <v>2.8704498828343659</v>
      </c>
      <c r="O6" s="33"/>
      <c r="P6" s="33"/>
      <c r="R6" s="32"/>
    </row>
    <row r="7" spans="1:18">
      <c r="A7" s="32" t="s">
        <v>52</v>
      </c>
      <c r="B7" s="37">
        <f t="shared" ref="B7:B12" si="0">B27</f>
        <v>629.45345138990103</v>
      </c>
      <c r="C7" s="33"/>
      <c r="D7" s="37">
        <f>IF(ISERROR(TER_horeca_gas_kWh/1000),0,TER_horeca_gas_kWh/1000)*0.902</f>
        <v>689.19271599637364</v>
      </c>
      <c r="E7" s="33">
        <f>$C$27*'E Balans VL '!I9/100/3.6*1000000</f>
        <v>7.2453174928385229</v>
      </c>
      <c r="F7" s="33">
        <f>$C$27*('E Balans VL '!L9+'E Balans VL '!N9)/100/3.6*1000000</f>
        <v>81.157848579685961</v>
      </c>
      <c r="G7" s="34"/>
      <c r="H7" s="33"/>
      <c r="I7" s="33"/>
      <c r="J7" s="33">
        <f>$C$27*('E Balans VL '!D9+'E Balans VL '!E9)/100/3.6*1000000</f>
        <v>0</v>
      </c>
      <c r="K7" s="33"/>
      <c r="L7" s="33"/>
      <c r="M7" s="33"/>
      <c r="N7" s="33">
        <f>$C$27*'E Balans VL '!Y9/100/3.6*1000000</f>
        <v>6.6437369335424457</v>
      </c>
      <c r="O7" s="33"/>
      <c r="P7" s="33"/>
      <c r="R7" s="32"/>
    </row>
    <row r="8" spans="1:18">
      <c r="A8" s="6" t="s">
        <v>51</v>
      </c>
      <c r="B8" s="37">
        <f t="shared" si="0"/>
        <v>1015.69631207415</v>
      </c>
      <c r="C8" s="33"/>
      <c r="D8" s="37">
        <f>IF(ISERROR(TER_handel_gas_kWh/1000),0,TER_handel_gas_kWh/1000)*0.902</f>
        <v>706.0506267710108</v>
      </c>
      <c r="E8" s="33">
        <f>$C$28*'E Balans VL '!I13/100/3.6*1000000</f>
        <v>28.657267092314413</v>
      </c>
      <c r="F8" s="33">
        <f>$C$28*('E Balans VL '!L13+'E Balans VL '!N13)/100/3.6*1000000</f>
        <v>102.15727368274342</v>
      </c>
      <c r="G8" s="34"/>
      <c r="H8" s="33"/>
      <c r="I8" s="33"/>
      <c r="J8" s="33">
        <f>$C$28*('E Balans VL '!D13+'E Balans VL '!E13)/100/3.6*1000000</f>
        <v>0</v>
      </c>
      <c r="K8" s="33"/>
      <c r="L8" s="33"/>
      <c r="M8" s="33"/>
      <c r="N8" s="33">
        <f>$C$28*'E Balans VL '!Y13/100/3.6*1000000</f>
        <v>1.4020549893571137</v>
      </c>
      <c r="O8" s="33"/>
      <c r="P8" s="33"/>
      <c r="R8" s="32"/>
    </row>
    <row r="9" spans="1:18">
      <c r="A9" s="32" t="s">
        <v>50</v>
      </c>
      <c r="B9" s="37">
        <f t="shared" si="0"/>
        <v>690.938663254777</v>
      </c>
      <c r="C9" s="33"/>
      <c r="D9" s="37">
        <f>IF(ISERROR(TER_gezond_gas_kWh/1000),0,TER_gezond_gas_kWh/1000)*0.902</f>
        <v>1249.0546133049095</v>
      </c>
      <c r="E9" s="33">
        <f>$C$29*'E Balans VL '!I10/100/3.6*1000000</f>
        <v>1.3802827325898417</v>
      </c>
      <c r="F9" s="33">
        <f>$C$29*('E Balans VL '!L10+'E Balans VL '!N10)/100/3.6*1000000</f>
        <v>60.540086456910863</v>
      </c>
      <c r="G9" s="34"/>
      <c r="H9" s="33"/>
      <c r="I9" s="33"/>
      <c r="J9" s="33">
        <f>$C$29*('E Balans VL '!D10+'E Balans VL '!E10)/100/3.6*1000000</f>
        <v>0</v>
      </c>
      <c r="K9" s="33"/>
      <c r="L9" s="33"/>
      <c r="M9" s="33"/>
      <c r="N9" s="33">
        <f>$C$29*'E Balans VL '!Y10/100/3.6*1000000</f>
        <v>10.451440452526665</v>
      </c>
      <c r="O9" s="33"/>
      <c r="P9" s="33"/>
      <c r="R9" s="32"/>
    </row>
    <row r="10" spans="1:18">
      <c r="A10" s="32" t="s">
        <v>49</v>
      </c>
      <c r="B10" s="37">
        <f t="shared" si="0"/>
        <v>599.48561787703295</v>
      </c>
      <c r="C10" s="33"/>
      <c r="D10" s="37">
        <f>IF(ISERROR(TER_ander_gas_kWh/1000),0,TER_ander_gas_kWh/1000)*0.902</f>
        <v>450.43953790608833</v>
      </c>
      <c r="E10" s="33">
        <f>$C$30*'E Balans VL '!I14/100/3.6*1000000</f>
        <v>8.4453057341550224</v>
      </c>
      <c r="F10" s="33">
        <f>$C$30*('E Balans VL '!L14+'E Balans VL '!N14)/100/3.6*1000000</f>
        <v>363.65566172517265</v>
      </c>
      <c r="G10" s="34"/>
      <c r="H10" s="33"/>
      <c r="I10" s="33"/>
      <c r="J10" s="33">
        <f>$C$30*('E Balans VL '!D14+'E Balans VL '!E14)/100/3.6*1000000</f>
        <v>6.5811996480602307E-3</v>
      </c>
      <c r="K10" s="33"/>
      <c r="L10" s="33"/>
      <c r="M10" s="33"/>
      <c r="N10" s="33">
        <f>$C$30*'E Balans VL '!Y14/100/3.6*1000000</f>
        <v>253.54119941798351</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2170.8952946781301</v>
      </c>
      <c r="C12" s="33"/>
      <c r="D12" s="37">
        <f>IF(ISERROR(TER_rest_gas_kWh/1000),0,TER_rest_gas_kWh/1000)*0.902</f>
        <v>4060.0058645513855</v>
      </c>
      <c r="E12" s="33">
        <f>$C$32*'E Balans VL '!I8/100/3.6*1000000</f>
        <v>28.067835496814684</v>
      </c>
      <c r="F12" s="33">
        <f>$C$32*('E Balans VL '!L8+'E Balans VL '!N8)/100/3.6*1000000</f>
        <v>445.37230127135342</v>
      </c>
      <c r="G12" s="34"/>
      <c r="H12" s="33"/>
      <c r="I12" s="33"/>
      <c r="J12" s="33">
        <f>$C$32*('E Balans VL '!D8+'E Balans VL '!E8)/100/3.6*1000000</f>
        <v>4.4201925141654904E-3</v>
      </c>
      <c r="K12" s="33"/>
      <c r="L12" s="33"/>
      <c r="M12" s="33"/>
      <c r="N12" s="33">
        <f>$C$32*'E Balans VL '!Y8/100/3.6*1000000</f>
        <v>177.30550376094797</v>
      </c>
      <c r="O12" s="33"/>
      <c r="P12" s="33"/>
      <c r="R12" s="32"/>
    </row>
    <row r="13" spans="1:18">
      <c r="A13" s="16" t="s">
        <v>473</v>
      </c>
      <c r="B13" s="242">
        <f ca="1">'lokale energieproductie'!N39+'lokale energieproductie'!N32</f>
        <v>43.649999999999991</v>
      </c>
      <c r="C13" s="242">
        <f ca="1">'lokale energieproductie'!O39+'lokale energieproductie'!O32</f>
        <v>62.357142857142847</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-124.71428571428569</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7490.3651273468213</v>
      </c>
      <c r="C16" s="21">
        <f t="shared" ca="1" si="1"/>
        <v>62.357142857142847</v>
      </c>
      <c r="D16" s="21">
        <f t="shared" ca="1" si="1"/>
        <v>11358.248021628951</v>
      </c>
      <c r="E16" s="21">
        <f t="shared" si="1"/>
        <v>73.795816384071216</v>
      </c>
      <c r="F16" s="21">
        <f t="shared" ca="1" si="1"/>
        <v>1349.46575117815</v>
      </c>
      <c r="G16" s="21">
        <f t="shared" si="1"/>
        <v>0</v>
      </c>
      <c r="H16" s="21">
        <f t="shared" si="1"/>
        <v>0</v>
      </c>
      <c r="I16" s="21">
        <f t="shared" si="1"/>
        <v>0</v>
      </c>
      <c r="J16" s="21">
        <f t="shared" si="1"/>
        <v>1.1001392162225721E-2</v>
      </c>
      <c r="K16" s="21">
        <f t="shared" si="1"/>
        <v>0</v>
      </c>
      <c r="L16" s="21">
        <f t="shared" ca="1" si="1"/>
        <v>0</v>
      </c>
      <c r="M16" s="21">
        <f t="shared" si="1"/>
        <v>0</v>
      </c>
      <c r="N16" s="21">
        <f t="shared" ca="1" si="1"/>
        <v>327.50009972290638</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0.20940032923618879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1568.4849237656915</v>
      </c>
      <c r="C20" s="23">
        <f t="shared" ref="C20:P20" ca="1" si="2">C16*C18</f>
        <v>0</v>
      </c>
      <c r="D20" s="23">
        <f t="shared" ca="1" si="2"/>
        <v>2294.3661003690481</v>
      </c>
      <c r="E20" s="23">
        <f t="shared" si="2"/>
        <v>16.751650319184165</v>
      </c>
      <c r="F20" s="23">
        <f t="shared" ca="1" si="2"/>
        <v>360.30735556456608</v>
      </c>
      <c r="G20" s="23">
        <f t="shared" si="2"/>
        <v>0</v>
      </c>
      <c r="H20" s="23">
        <f t="shared" si="2"/>
        <v>0</v>
      </c>
      <c r="I20" s="23">
        <f t="shared" si="2"/>
        <v>0</v>
      </c>
      <c r="J20" s="23">
        <f t="shared" si="2"/>
        <v>3.8944928254279051E-3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2340.2457880728302</v>
      </c>
      <c r="C26" s="39">
        <f>IF(ISERROR(B26*3.6/1000000/'E Balans VL '!Z12*100),0,B26*3.6/1000000/'E Balans VL '!Z12*100)</f>
        <v>6.3446074517624657E-2</v>
      </c>
      <c r="D26" s="232" t="s">
        <v>700</v>
      </c>
      <c r="F26" s="6"/>
    </row>
    <row r="27" spans="1:18">
      <c r="A27" s="227" t="s">
        <v>52</v>
      </c>
      <c r="B27" s="33">
        <f>IF(ISERROR(TER_horeca_ele_kWh/1000),0,TER_horeca_ele_kWh/1000)</f>
        <v>629.45345138990103</v>
      </c>
      <c r="C27" s="39">
        <f>IF(ISERROR(B27*3.6/1000000/'E Balans VL '!Z9*100),0,B27*3.6/1000000/'E Balans VL '!Z9*100)</f>
        <v>4.8688884749365433E-2</v>
      </c>
      <c r="D27" s="232" t="s">
        <v>700</v>
      </c>
      <c r="F27" s="6"/>
    </row>
    <row r="28" spans="1:18">
      <c r="A28" s="167" t="s">
        <v>51</v>
      </c>
      <c r="B28" s="33">
        <f>IF(ISERROR(TER_handel_ele_kWh/1000),0,TER_handel_ele_kWh/1000)</f>
        <v>1015.69631207415</v>
      </c>
      <c r="C28" s="39">
        <f>IF(ISERROR(B28*3.6/1000000/'E Balans VL '!Z13*100),0,B28*3.6/1000000/'E Balans VL '!Z13*100)</f>
        <v>2.9376564247011773E-2</v>
      </c>
      <c r="D28" s="232" t="s">
        <v>700</v>
      </c>
      <c r="F28" s="6"/>
    </row>
    <row r="29" spans="1:18">
      <c r="A29" s="227" t="s">
        <v>50</v>
      </c>
      <c r="B29" s="33">
        <f>IF(ISERROR(TER_gezond_ele_kWh/1000),0,TER_gezond_ele_kWh/1000)</f>
        <v>690.938663254777</v>
      </c>
      <c r="C29" s="39">
        <f>IF(ISERROR(B29*3.6/1000000/'E Balans VL '!Z10*100),0,B29*3.6/1000000/'E Balans VL '!Z10*100)</f>
        <v>7.1159906289714123E-2</v>
      </c>
      <c r="D29" s="232" t="s">
        <v>700</v>
      </c>
      <c r="F29" s="6"/>
    </row>
    <row r="30" spans="1:18">
      <c r="A30" s="227" t="s">
        <v>49</v>
      </c>
      <c r="B30" s="33">
        <f>IF(ISERROR(TER_ander_ele_kWh/1000),0,TER_ander_ele_kWh/1000)</f>
        <v>599.48561787703295</v>
      </c>
      <c r="C30" s="39">
        <f>IF(ISERROR(B30*3.6/1000000/'E Balans VL '!Z14*100),0,B30*3.6/1000000/'E Balans VL '!Z14*100)</f>
        <v>2.6953718695127225E-2</v>
      </c>
      <c r="D30" s="232" t="s">
        <v>700</v>
      </c>
      <c r="F30" s="6"/>
    </row>
    <row r="31" spans="1:18">
      <c r="A31" s="227" t="s">
        <v>54</v>
      </c>
      <c r="B31" s="33">
        <f>IF(ISERROR(TER_onderwijs_ele_kWh/1000),0,TER_onderwijs_ele_kWh/1000)</f>
        <v>0</v>
      </c>
      <c r="C31" s="39">
        <f>IF(ISERROR(B31*3.6/1000000/'E Balans VL '!Z11*100),0,B31*3.6/1000000/'E Balans VL '!Z11*100)</f>
        <v>0</v>
      </c>
      <c r="D31" s="232" t="s">
        <v>700</v>
      </c>
    </row>
    <row r="32" spans="1:18">
      <c r="A32" s="227" t="s">
        <v>248</v>
      </c>
      <c r="B32" s="33">
        <f>IF(ISERROR(TER_rest_ele_kWh/1000),0,TER_rest_ele_kWh/1000)</f>
        <v>2170.8952946781301</v>
      </c>
      <c r="C32" s="39">
        <f>IF(ISERROR(B32*3.6/1000000/'E Balans VL '!Z8*100),0,B32*3.6/1000000/'E Balans VL '!Z8*100)</f>
        <v>1.8103177532418389E-2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942.804332117341</v>
      </c>
      <c r="C5" s="17">
        <f>IF(ISERROR('Eigen informatie GS &amp; warmtenet'!B59),0,'Eigen informatie GS &amp; warmtenet'!B59)</f>
        <v>0</v>
      </c>
      <c r="D5" s="30">
        <f>SUM(D6:D15)</f>
        <v>1531.384528357549</v>
      </c>
      <c r="E5" s="17">
        <f>SUM(E6:E15)</f>
        <v>12.690271093870109</v>
      </c>
      <c r="F5" s="17">
        <f>SUM(F6:F15)</f>
        <v>179.14001496677332</v>
      </c>
      <c r="G5" s="18"/>
      <c r="H5" s="17"/>
      <c r="I5" s="17"/>
      <c r="J5" s="17">
        <f>SUM(J6:J15)</f>
        <v>0.68355957660802147</v>
      </c>
      <c r="K5" s="17"/>
      <c r="L5" s="17"/>
      <c r="M5" s="17"/>
      <c r="N5" s="17">
        <f>SUM(N6:N15)</f>
        <v>29.51555570737418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163.508218031392</v>
      </c>
      <c r="C9" s="33"/>
      <c r="D9" s="37">
        <f>IF( ISERROR(IND_andere_gas_kWh/1000),0,IND_andere_gas_kWh/1000)*0.902</f>
        <v>328.02240683849033</v>
      </c>
      <c r="E9" s="33">
        <f>C31*'E Balans VL '!I19/100/3.6*1000000</f>
        <v>0.94903864970363883</v>
      </c>
      <c r="F9" s="33">
        <f>C31*'E Balans VL '!L19/100/3.6*1000000+C31*'E Balans VL '!N19/100/3.6*1000000</f>
        <v>107.83183379963846</v>
      </c>
      <c r="G9" s="34"/>
      <c r="H9" s="33"/>
      <c r="I9" s="33"/>
      <c r="J9" s="40">
        <f>C31*'E Balans VL '!D19/100/3.6*1000000+C31*'E Balans VL '!E19/100/3.6*1000000</f>
        <v>0</v>
      </c>
      <c r="K9" s="33"/>
      <c r="L9" s="33"/>
      <c r="M9" s="33"/>
      <c r="N9" s="33">
        <f>C31*'E Balans VL '!Y19/100/3.6*1000000</f>
        <v>7.5722077079736199</v>
      </c>
      <c r="O9" s="33"/>
      <c r="P9" s="33"/>
      <c r="R9" s="32"/>
    </row>
    <row r="10" spans="1:18">
      <c r="A10" s="6" t="s">
        <v>40</v>
      </c>
      <c r="B10" s="37">
        <f t="shared" si="0"/>
        <v>585.19052038803409</v>
      </c>
      <c r="C10" s="33"/>
      <c r="D10" s="37">
        <f>IF( ISERROR(IND_voed_gas_kWh/1000),0,IND_voed_gas_kWh/1000)*0.902</f>
        <v>848.57322055689588</v>
      </c>
      <c r="E10" s="33">
        <f>C32*'E Balans VL '!I20/100/3.6*1000000</f>
        <v>1.2401552125734201</v>
      </c>
      <c r="F10" s="33">
        <f>C32*'E Balans VL '!L20/100/3.6*1000000+C32*'E Balans VL '!N20/100/3.6*1000000</f>
        <v>37.191274897109963</v>
      </c>
      <c r="G10" s="34"/>
      <c r="H10" s="33"/>
      <c r="I10" s="33"/>
      <c r="J10" s="40">
        <f>C32*'E Balans VL '!D20/100/3.6*1000000+C32*'E Balans VL '!E20/100/3.6*1000000</f>
        <v>0</v>
      </c>
      <c r="K10" s="33"/>
      <c r="L10" s="33"/>
      <c r="M10" s="33"/>
      <c r="N10" s="33">
        <f>C32*'E Balans VL '!Y20/100/3.6*1000000</f>
        <v>16.96402503642943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194.105593697915</v>
      </c>
      <c r="C15" s="33"/>
      <c r="D15" s="37">
        <f>IF( ISERROR(IND_rest_gas_kWh/1000),0,IND_rest_gas_kWh/1000)*0.902</f>
        <v>354.78890096216287</v>
      </c>
      <c r="E15" s="33">
        <f>C37*'E Balans VL '!I15/100/3.6*1000000</f>
        <v>10.501077231593051</v>
      </c>
      <c r="F15" s="33">
        <f>C37*'E Balans VL '!L15/100/3.6*1000000+C37*'E Balans VL '!N15/100/3.6*1000000</f>
        <v>34.11690627002492</v>
      </c>
      <c r="G15" s="34"/>
      <c r="H15" s="33"/>
      <c r="I15" s="33"/>
      <c r="J15" s="40">
        <f>C37*'E Balans VL '!D15/100/3.6*1000000+C37*'E Balans VL '!E15/100/3.6*1000000</f>
        <v>0.68355957660802147</v>
      </c>
      <c r="K15" s="33"/>
      <c r="L15" s="33"/>
      <c r="M15" s="33"/>
      <c r="N15" s="33">
        <f>C37*'E Balans VL '!Y15/100/3.6*1000000</f>
        <v>4.9793229629711284</v>
      </c>
      <c r="O15" s="33"/>
      <c r="P15" s="33"/>
      <c r="R15" s="32"/>
    </row>
    <row r="16" spans="1:18">
      <c r="A16" s="16" t="s">
        <v>473</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942.804332117341</v>
      </c>
      <c r="C18" s="21">
        <f>C5+C16</f>
        <v>0</v>
      </c>
      <c r="D18" s="21">
        <f>MAX((D5+D16),0)</f>
        <v>1531.384528357549</v>
      </c>
      <c r="E18" s="21">
        <f>MAX((E5+E16),0)</f>
        <v>12.690271093870109</v>
      </c>
      <c r="F18" s="21">
        <f>MAX((F5+F16),0)</f>
        <v>179.14001496677332</v>
      </c>
      <c r="G18" s="21"/>
      <c r="H18" s="21"/>
      <c r="I18" s="21"/>
      <c r="J18" s="21">
        <f>MAX((J5+J16),0)</f>
        <v>0.68355957660802147</v>
      </c>
      <c r="K18" s="21"/>
      <c r="L18" s="21">
        <f>MAX((L5+L16),0)</f>
        <v>0</v>
      </c>
      <c r="M18" s="21"/>
      <c r="N18" s="21">
        <f>MAX((N5+N16),0)</f>
        <v>29.51555570737418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0.20940032923618879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197.42353755067629</v>
      </c>
      <c r="C22" s="23">
        <f ca="1">C18*C20</f>
        <v>0</v>
      </c>
      <c r="D22" s="23">
        <f>D18*D20</f>
        <v>309.33967472822491</v>
      </c>
      <c r="E22" s="23">
        <f>E18*E20</f>
        <v>2.8806915383085148</v>
      </c>
      <c r="F22" s="23">
        <f>F18*F20</f>
        <v>47.830383996128482</v>
      </c>
      <c r="G22" s="23"/>
      <c r="H22" s="23"/>
      <c r="I22" s="23"/>
      <c r="J22" s="23">
        <f>J18*J20</f>
        <v>0.2419800901192396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0</v>
      </c>
      <c r="C30" s="39">
        <f>IF(ISERROR(B30*3.6/1000000/'E Balans VL '!Z18*100),0,B30*3.6/1000000/'E Balans VL '!Z18*100)</f>
        <v>0</v>
      </c>
      <c r="D30" s="232" t="s">
        <v>700</v>
      </c>
    </row>
    <row r="31" spans="1:18">
      <c r="A31" s="6" t="s">
        <v>32</v>
      </c>
      <c r="B31" s="37">
        <f>IF( ISERROR(IND_ander_ele_kWh/1000),0,IND_ander_ele_kWh/1000)</f>
        <v>163.508218031392</v>
      </c>
      <c r="C31" s="39">
        <f>IF(ISERROR(B31*3.6/1000000/'E Balans VL '!Z19*100),0,B31*3.6/1000000/'E Balans VL '!Z19*100)</f>
        <v>6.8287184799353711E-3</v>
      </c>
      <c r="D31" s="232" t="s">
        <v>700</v>
      </c>
    </row>
    <row r="32" spans="1:18">
      <c r="A32" s="167" t="s">
        <v>40</v>
      </c>
      <c r="B32" s="37">
        <f>IF( ISERROR(IND_voed_ele_kWh/1000),0,IND_voed_ele_kWh/1000)</f>
        <v>585.19052038803409</v>
      </c>
      <c r="C32" s="39">
        <f>IF(ISERROR(B32*3.6/1000000/'E Balans VL '!Z20*100),0,B32*3.6/1000000/'E Balans VL '!Z20*100)</f>
        <v>1.8150304226846263E-2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194.105593697915</v>
      </c>
      <c r="C37" s="39">
        <f>IF(ISERROR(B37*3.6/1000000/'E Balans VL '!Z15*100),0,B37*3.6/1000000/'E Balans VL '!Z15*100)</f>
        <v>1.5134295850368483E-3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266.83319640090298</v>
      </c>
      <c r="C5" s="17">
        <f>'Eigen informatie GS &amp; warmtenet'!B60</f>
        <v>0</v>
      </c>
      <c r="D5" s="30">
        <f>IF(ISERROR(SUM(LB_lb_gas_kWh,LB_rest_gas_kWh)/1000),0,SUM(LB_lb_gas_kWh,LB_rest_gas_kWh)/1000)*0.902</f>
        <v>56.839023135063954</v>
      </c>
      <c r="E5" s="17">
        <f>B17*'E Balans VL '!I25/3.6*1000000/100</f>
        <v>8.6596143744851481</v>
      </c>
      <c r="F5" s="17">
        <f>B17*('E Balans VL '!L25/3.6*1000000+'E Balans VL '!N25/3.6*1000000)/100</f>
        <v>984.39943968934813</v>
      </c>
      <c r="G5" s="18"/>
      <c r="H5" s="17"/>
      <c r="I5" s="17"/>
      <c r="J5" s="17">
        <f>('E Balans VL '!D25+'E Balans VL '!E25)/3.6*1000000*landbouw!B17/100</f>
        <v>70.174371951904035</v>
      </c>
      <c r="K5" s="17"/>
      <c r="L5" s="17">
        <f>L6*(-1)</f>
        <v>0</v>
      </c>
      <c r="M5" s="17"/>
      <c r="N5" s="17">
        <f>N6*(-1)</f>
        <v>124.71428571428569</v>
      </c>
      <c r="O5" s="17"/>
      <c r="P5" s="17"/>
      <c r="R5" s="32"/>
    </row>
    <row r="6" spans="1:18">
      <c r="A6" s="16" t="s">
        <v>473</v>
      </c>
      <c r="B6" s="17" t="s">
        <v>204</v>
      </c>
      <c r="C6" s="17">
        <f>'lokale energieproductie'!O40+'lokale energieproductie'!O33</f>
        <v>62.357142857142847</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266.83319640090298</v>
      </c>
      <c r="C8" s="21">
        <f>C5+C6</f>
        <v>62.357142857142847</v>
      </c>
      <c r="D8" s="21">
        <f>MAX((D5+D6),0)</f>
        <v>56.839023135063954</v>
      </c>
      <c r="E8" s="21">
        <f>MAX((E5+E6),0)</f>
        <v>8.6596143744851481</v>
      </c>
      <c r="F8" s="21">
        <f>MAX((F5+F6),0)</f>
        <v>984.39943968934813</v>
      </c>
      <c r="G8" s="21"/>
      <c r="H8" s="21"/>
      <c r="I8" s="21"/>
      <c r="J8" s="21">
        <f>MAX((J5+J6),0)</f>
        <v>70.174371951904035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0.20940032923618879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55.874959177493707</v>
      </c>
      <c r="C12" s="23">
        <f ca="1">C8*C10</f>
        <v>0</v>
      </c>
      <c r="D12" s="23">
        <f>D8*D10</f>
        <v>11.481482673282919</v>
      </c>
      <c r="E12" s="23">
        <f>E8*E10</f>
        <v>1.9657324630081288</v>
      </c>
      <c r="F12" s="23">
        <f>F8*F10</f>
        <v>262.83465039705595</v>
      </c>
      <c r="G12" s="23"/>
      <c r="H12" s="23"/>
      <c r="I12" s="23"/>
      <c r="J12" s="23">
        <f>J8*J10</f>
        <v>24.841727670974027</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3.7864467732910953E-2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96.997183328700956</v>
      </c>
      <c r="C26" s="242">
        <f>B26*'GWP N2O_CH4'!B5</f>
        <v>2036.9408499027202</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19.583207889329799</v>
      </c>
      <c r="C27" s="242">
        <f>B27*'GWP N2O_CH4'!B5</f>
        <v>411.24736567592578</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1.0905791882754081</v>
      </c>
      <c r="C28" s="242">
        <f>B28*'GWP N2O_CH4'!B4</f>
        <v>338.07954836537652</v>
      </c>
      <c r="D28" s="50"/>
    </row>
    <row r="29" spans="1:4">
      <c r="A29" s="41" t="s">
        <v>265</v>
      </c>
      <c r="B29" s="242">
        <f>B34*'ha_N2O bodem landbouw'!B4</f>
        <v>0.98504479429191449</v>
      </c>
      <c r="C29" s="242">
        <f>B29*'GWP N2O_CH4'!B4</f>
        <v>305.36388623049351</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2.2478382744203724E-4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3.278032425730923E-5</v>
      </c>
      <c r="C5" s="427" t="s">
        <v>204</v>
      </c>
      <c r="D5" s="412">
        <f>SUM(D6:D11)</f>
        <v>5.9044244605712393E-5</v>
      </c>
      <c r="E5" s="412">
        <f>SUM(E6:E11)</f>
        <v>1.012438986481671E-4</v>
      </c>
      <c r="F5" s="425" t="s">
        <v>204</v>
      </c>
      <c r="G5" s="412">
        <f>SUM(G6:G11)</f>
        <v>3.4129405275447069E-2</v>
      </c>
      <c r="H5" s="412">
        <f>SUM(H6:H11)</f>
        <v>1.0166531053911581E-2</v>
      </c>
      <c r="I5" s="427" t="s">
        <v>204</v>
      </c>
      <c r="J5" s="427" t="s">
        <v>204</v>
      </c>
      <c r="K5" s="427" t="s">
        <v>204</v>
      </c>
      <c r="L5" s="427" t="s">
        <v>204</v>
      </c>
      <c r="M5" s="412">
        <f>SUM(M6:M11)</f>
        <v>2.2933361091055419E-3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2.4485683887512586E-5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4.1372517923174254E-5</v>
      </c>
      <c r="E6" s="818">
        <f>vkm_GW_PW*SUMIFS(TableVerdeelsleutelVkm[LPG],TableVerdeelsleutelVkm[Voertuigtype],"Lichte voertuigen")*SUMIFS(TableECFTransport[EnergieConsumptieFactor (PJ per km)],TableECFTransport[Index],CONCATENATE($A6,"_LPG_LPG"))</f>
        <v>7.1917870279894003E-5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2.1782015575446598E-2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7.1732173305927406E-3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1.4838098121584061E-3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1.2412189440682857E-7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3.986825132622023E-3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7.954081493823637E-8</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2.3293285340282734E-4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8.1689309814863166E-6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1.7671726682538136E-5</v>
      </c>
      <c r="E8" s="415">
        <f>vkm_NGW_PW*SUMIFS(TableVerdeelsleutelVkm[LPG],TableVerdeelsleutelVkm[Voertuigtype],"Lichte voertuigen")*SUMIFS(TableECFTransport[EnergieConsumptieFactor (PJ per km)],TableECFTransport[Index],CONCATENATE($A8,"_LPG_LPG"))</f>
        <v>2.9326028368273103E-5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8.2951401408393726E-3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2.9932329545836757E-3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5.7277098111647236E-4</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1.5874939035027321E-9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6.5424426539076062E-5</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1.227920226667718E-9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3.8224624278360812E-6</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9.1056456270303414</v>
      </c>
      <c r="C14" s="21"/>
      <c r="D14" s="21">
        <f t="shared" ref="D14:M14" si="0">((D5)*10^9/3600)+D12</f>
        <v>16.401179057142333</v>
      </c>
      <c r="E14" s="21">
        <f t="shared" si="0"/>
        <v>28.123305180046419</v>
      </c>
      <c r="F14" s="21"/>
      <c r="G14" s="21">
        <f t="shared" si="0"/>
        <v>9480.3903542908538</v>
      </c>
      <c r="H14" s="21">
        <f t="shared" si="0"/>
        <v>2824.0364038643283</v>
      </c>
      <c r="I14" s="21"/>
      <c r="J14" s="21"/>
      <c r="K14" s="21"/>
      <c r="L14" s="21"/>
      <c r="M14" s="21">
        <f t="shared" si="0"/>
        <v>637.03780808487272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0.20940032923618879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1.9067251922082162</v>
      </c>
      <c r="C18" s="23"/>
      <c r="D18" s="23">
        <f t="shared" ref="D18:M18" si="1">D14*D16</f>
        <v>3.3130381695427515</v>
      </c>
      <c r="E18" s="23">
        <f t="shared" si="1"/>
        <v>6.3839902758705369</v>
      </c>
      <c r="F18" s="23"/>
      <c r="G18" s="23">
        <f t="shared" si="1"/>
        <v>2531.2642245956581</v>
      </c>
      <c r="H18" s="23">
        <f t="shared" si="1"/>
        <v>703.1850645622178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3.3054340001573309E-5</v>
      </c>
      <c r="C50" s="311">
        <f t="shared" ref="C50:P50" si="2">SUM(C51:C52)</f>
        <v>0</v>
      </c>
      <c r="D50" s="311">
        <f t="shared" si="2"/>
        <v>0</v>
      </c>
      <c r="E50" s="311">
        <f t="shared" si="2"/>
        <v>0</v>
      </c>
      <c r="F50" s="311">
        <f t="shared" si="2"/>
        <v>0</v>
      </c>
      <c r="G50" s="311">
        <f t="shared" si="2"/>
        <v>3.1051272066101874E-3</v>
      </c>
      <c r="H50" s="311">
        <f t="shared" si="2"/>
        <v>0</v>
      </c>
      <c r="I50" s="311">
        <f t="shared" si="2"/>
        <v>0</v>
      </c>
      <c r="J50" s="311">
        <f t="shared" si="2"/>
        <v>0</v>
      </c>
      <c r="K50" s="311">
        <f t="shared" si="2"/>
        <v>0</v>
      </c>
      <c r="L50" s="311">
        <f t="shared" si="2"/>
        <v>0</v>
      </c>
      <c r="M50" s="311">
        <f t="shared" si="2"/>
        <v>1.788149527322389E-4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3.3054340001573309E-5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3.1051272066101874E-3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1.788149527322389E-4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9.1817611115481412</v>
      </c>
      <c r="C54" s="21">
        <f t="shared" ref="C54:P54" si="3">(C50)*10^9/3600</f>
        <v>0</v>
      </c>
      <c r="D54" s="21">
        <f t="shared" si="3"/>
        <v>0</v>
      </c>
      <c r="E54" s="21">
        <f t="shared" si="3"/>
        <v>0</v>
      </c>
      <c r="F54" s="21">
        <f t="shared" si="3"/>
        <v>0</v>
      </c>
      <c r="G54" s="21">
        <f t="shared" si="3"/>
        <v>862.53533516949653</v>
      </c>
      <c r="H54" s="21">
        <f t="shared" si="3"/>
        <v>0</v>
      </c>
      <c r="I54" s="21">
        <f t="shared" si="3"/>
        <v>0</v>
      </c>
      <c r="J54" s="21">
        <f t="shared" si="3"/>
        <v>0</v>
      </c>
      <c r="K54" s="21">
        <f t="shared" si="3"/>
        <v>0</v>
      </c>
      <c r="L54" s="21">
        <f t="shared" si="3"/>
        <v>0</v>
      </c>
      <c r="M54" s="21">
        <f t="shared" si="3"/>
        <v>49.670820203399693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0.20940032923618879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1.9226637997262155</v>
      </c>
      <c r="C58" s="23">
        <f t="shared" ref="C58:P58" ca="1" si="4">C54*C56</f>
        <v>0</v>
      </c>
      <c r="D58" s="23">
        <f t="shared" si="4"/>
        <v>0</v>
      </c>
      <c r="E58" s="23">
        <f t="shared" si="4"/>
        <v>0</v>
      </c>
      <c r="F58" s="23">
        <f t="shared" si="4"/>
        <v>0</v>
      </c>
      <c r="G58" s="23">
        <f t="shared" si="4"/>
        <v>230.29693449025558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70" zoomScaleNormal="70"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1144.9643736886376</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N30</f>
        <v>87.299999999999983</v>
      </c>
      <c r="C8" s="534">
        <f>B49</f>
        <v>0</v>
      </c>
      <c r="D8" s="962"/>
      <c r="E8" s="962">
        <f>E49</f>
        <v>0</v>
      </c>
      <c r="F8" s="963"/>
      <c r="G8" s="535"/>
      <c r="H8" s="962">
        <f>I49</f>
        <v>0</v>
      </c>
      <c r="I8" s="962">
        <f>G49+F49</f>
        <v>0</v>
      </c>
      <c r="J8" s="962">
        <f>H49+D49+C49</f>
        <v>102.70588235294116</v>
      </c>
      <c r="K8" s="962"/>
      <c r="L8" s="962"/>
      <c r="M8" s="962"/>
      <c r="N8" s="536"/>
      <c r="O8" s="537">
        <f>C8*$C$12+D8*$D$12+E8*$E$12+F8*$F$12+G8*$G$12+H8*$H$12+I8*$I$12+J8*$J$12</f>
        <v>0</v>
      </c>
      <c r="P8" s="1180"/>
      <c r="Q8" s="1181"/>
      <c r="S8" s="925"/>
      <c r="T8" s="1217"/>
      <c r="U8" s="1217"/>
    </row>
    <row r="9" spans="1:21" s="523" customFormat="1" ht="17.45" customHeight="1" thickBot="1">
      <c r="A9" s="538" t="s">
        <v>236</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1232.2643736886375</v>
      </c>
      <c r="C10" s="547">
        <f t="shared" ref="C10:L10" si="0">SUM(C8:C9)</f>
        <v>0</v>
      </c>
      <c r="D10" s="547">
        <f t="shared" si="0"/>
        <v>0</v>
      </c>
      <c r="E10" s="547">
        <f t="shared" si="0"/>
        <v>0</v>
      </c>
      <c r="F10" s="547">
        <f t="shared" si="0"/>
        <v>0</v>
      </c>
      <c r="G10" s="547">
        <f t="shared" si="0"/>
        <v>0</v>
      </c>
      <c r="H10" s="547">
        <f t="shared" si="0"/>
        <v>0</v>
      </c>
      <c r="I10" s="547">
        <f t="shared" si="0"/>
        <v>0</v>
      </c>
      <c r="J10" s="547">
        <f t="shared" si="0"/>
        <v>102.70588235294116</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O30</f>
        <v>124.71428571428569</v>
      </c>
      <c r="C17" s="559">
        <f>B50</f>
        <v>0</v>
      </c>
      <c r="D17" s="560"/>
      <c r="E17" s="560">
        <f>E50</f>
        <v>0</v>
      </c>
      <c r="F17" s="968"/>
      <c r="G17" s="561"/>
      <c r="H17" s="559">
        <f>I50</f>
        <v>0</v>
      </c>
      <c r="I17" s="560">
        <f>G50+F50</f>
        <v>0</v>
      </c>
      <c r="J17" s="560">
        <f>H50+D50+C50</f>
        <v>146.72268907563023</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124.71428571428569</v>
      </c>
      <c r="C20" s="546">
        <f>SUM(C17:C19)</f>
        <v>0</v>
      </c>
      <c r="D20" s="546">
        <f t="shared" ref="D20:L20" si="1">SUM(D17:D19)</f>
        <v>0</v>
      </c>
      <c r="E20" s="546">
        <f t="shared" si="1"/>
        <v>0</v>
      </c>
      <c r="F20" s="546">
        <f t="shared" si="1"/>
        <v>0</v>
      </c>
      <c r="G20" s="546">
        <f t="shared" si="1"/>
        <v>0</v>
      </c>
      <c r="H20" s="546">
        <f t="shared" si="1"/>
        <v>0</v>
      </c>
      <c r="I20" s="546">
        <f t="shared" si="1"/>
        <v>0</v>
      </c>
      <c r="J20" s="546">
        <f t="shared" si="1"/>
        <v>146.72268907563023</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63.75" hidden="1">
      <c r="A28" s="569"/>
      <c r="B28" s="724">
        <v>11021</v>
      </c>
      <c r="C28" s="724">
        <v>2540</v>
      </c>
      <c r="D28" s="617"/>
      <c r="E28" s="616"/>
      <c r="F28" s="616"/>
      <c r="G28" s="616" t="s">
        <v>878</v>
      </c>
      <c r="H28" s="616" t="s">
        <v>879</v>
      </c>
      <c r="I28" s="616"/>
      <c r="J28" s="723"/>
      <c r="K28" s="723"/>
      <c r="L28" s="616" t="s">
        <v>880</v>
      </c>
      <c r="M28" s="616">
        <v>9.6999999999999993</v>
      </c>
      <c r="N28" s="616">
        <v>43.649999999999991</v>
      </c>
      <c r="O28" s="616">
        <v>62.357142857142847</v>
      </c>
      <c r="P28" s="616">
        <v>0</v>
      </c>
      <c r="Q28" s="616">
        <v>124.71428571428569</v>
      </c>
      <c r="R28" s="616">
        <v>0</v>
      </c>
      <c r="S28" s="616">
        <v>0</v>
      </c>
      <c r="T28" s="616">
        <v>0</v>
      </c>
      <c r="U28" s="616">
        <v>0</v>
      </c>
      <c r="V28" s="616">
        <v>0</v>
      </c>
      <c r="W28" s="616">
        <v>0</v>
      </c>
      <c r="X28" s="616"/>
      <c r="Y28" s="616">
        <v>1600</v>
      </c>
      <c r="Z28" s="616" t="s">
        <v>49</v>
      </c>
      <c r="AA28" s="618" t="s">
        <v>149</v>
      </c>
    </row>
    <row r="29" spans="1:27" s="570" customFormat="1" ht="25.5" hidden="1">
      <c r="A29" s="569"/>
      <c r="B29" s="724">
        <v>11021</v>
      </c>
      <c r="C29" s="724">
        <v>2540</v>
      </c>
      <c r="D29" s="617"/>
      <c r="E29" s="616"/>
      <c r="F29" s="616"/>
      <c r="G29" s="616" t="s">
        <v>878</v>
      </c>
      <c r="H29" s="616" t="s">
        <v>879</v>
      </c>
      <c r="I29" s="616"/>
      <c r="J29" s="723"/>
      <c r="K29" s="723"/>
      <c r="L29" s="616" t="s">
        <v>880</v>
      </c>
      <c r="M29" s="616">
        <v>9.6999999999999993</v>
      </c>
      <c r="N29" s="616">
        <v>43.649999999999991</v>
      </c>
      <c r="O29" s="616">
        <v>62.357142857142847</v>
      </c>
      <c r="P29" s="616">
        <v>0</v>
      </c>
      <c r="Q29" s="616">
        <v>124.71428571428569</v>
      </c>
      <c r="R29" s="616">
        <v>0</v>
      </c>
      <c r="S29" s="616">
        <v>0</v>
      </c>
      <c r="T29" s="616">
        <v>0</v>
      </c>
      <c r="U29" s="616">
        <v>0</v>
      </c>
      <c r="V29" s="616">
        <v>0</v>
      </c>
      <c r="W29" s="616">
        <v>0</v>
      </c>
      <c r="X29" s="616"/>
      <c r="Y29" s="616">
        <v>10</v>
      </c>
      <c r="Z29" s="616" t="s">
        <v>105</v>
      </c>
      <c r="AA29" s="618" t="s">
        <v>105</v>
      </c>
    </row>
    <row r="30" spans="1:27" s="554" customFormat="1" hidden="1">
      <c r="A30" s="572" t="s">
        <v>268</v>
      </c>
      <c r="B30" s="573"/>
      <c r="C30" s="573"/>
      <c r="D30" s="573"/>
      <c r="E30" s="573"/>
      <c r="F30" s="573"/>
      <c r="G30" s="573"/>
      <c r="H30" s="573"/>
      <c r="I30" s="573"/>
      <c r="J30" s="573"/>
      <c r="K30" s="573"/>
      <c r="L30" s="574"/>
      <c r="M30" s="574">
        <f>SUM(M28:M29)</f>
        <v>19.399999999999999</v>
      </c>
      <c r="N30" s="574">
        <f>SUM(N28:N29)</f>
        <v>87.299999999999983</v>
      </c>
      <c r="O30" s="574">
        <f>SUM(O28:O29)</f>
        <v>124.71428571428569</v>
      </c>
      <c r="P30" s="574">
        <f>SUM(P28:P29)</f>
        <v>0</v>
      </c>
      <c r="Q30" s="574">
        <f>SUM(Q28:Q29)</f>
        <v>249.42857142857139</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275</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276</v>
      </c>
      <c r="B32" s="573"/>
      <c r="C32" s="573"/>
      <c r="D32" s="573"/>
      <c r="E32" s="573"/>
      <c r="F32" s="573"/>
      <c r="G32" s="573"/>
      <c r="H32" s="573"/>
      <c r="I32" s="573"/>
      <c r="J32" s="573"/>
      <c r="K32" s="573"/>
      <c r="L32" s="574"/>
      <c r="M32" s="574">
        <f ca="1">SUMIF($AA$28:AD29,"tertiair",M28:M29)</f>
        <v>9.6999999999999993</v>
      </c>
      <c r="N32" s="574">
        <f ca="1">SUMIF($AA$28:AE29,"tertiair",N28:N29)</f>
        <v>43.649999999999991</v>
      </c>
      <c r="O32" s="574">
        <f ca="1">SUMIF($AA$28:AF29,"tertiair",O28:O29)</f>
        <v>62.357142857142847</v>
      </c>
      <c r="P32" s="574">
        <f ca="1">SUMIF($AA$28:AG29,"tertiair",P28:P29)</f>
        <v>0</v>
      </c>
      <c r="Q32" s="574">
        <f ca="1">SUMIF($AA$28:AH29,"tertiair",Q28:Q29)</f>
        <v>124.71428571428569</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277</v>
      </c>
      <c r="B33" s="578"/>
      <c r="C33" s="578"/>
      <c r="D33" s="578"/>
      <c r="E33" s="578"/>
      <c r="F33" s="578"/>
      <c r="G33" s="578"/>
      <c r="H33" s="578"/>
      <c r="I33" s="578"/>
      <c r="J33" s="578"/>
      <c r="K33" s="578"/>
      <c r="L33" s="579"/>
      <c r="M33" s="579">
        <f>SUMIF($AA$28:$AA$29,"landbouw",M28:M29)</f>
        <v>9.6999999999999993</v>
      </c>
      <c r="N33" s="579">
        <f>SUMIF($AA$28:$AA$29,"landbouw",N28:N29)</f>
        <v>43.649999999999991</v>
      </c>
      <c r="O33" s="579">
        <f>SUMIF($AA$28:$AA$29,"landbouw",O28:O29)</f>
        <v>62.357142857142847</v>
      </c>
      <c r="P33" s="579">
        <f>SUMIF($AA$28:$AA$29,"landbouw",P28:P29)</f>
        <v>0</v>
      </c>
      <c r="Q33" s="579">
        <f>SUMIF($AA$28:$AA$29,"landbouw",Q28:Q29)</f>
        <v>124.71428571428569</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269</v>
      </c>
      <c r="B35" s="613" t="s">
        <v>89</v>
      </c>
      <c r="C35" s="613" t="s">
        <v>90</v>
      </c>
      <c r="D35" s="613"/>
      <c r="E35" s="613"/>
      <c r="F35" s="613"/>
      <c r="G35" s="613" t="s">
        <v>91</v>
      </c>
      <c r="H35" s="613" t="s">
        <v>92</v>
      </c>
      <c r="I35" s="613"/>
      <c r="J35" s="613"/>
      <c r="K35" s="613"/>
      <c r="L35" s="613" t="s">
        <v>93</v>
      </c>
      <c r="M35" s="614" t="s">
        <v>286</v>
      </c>
      <c r="N35" s="614" t="s">
        <v>94</v>
      </c>
      <c r="O35" s="614" t="s">
        <v>95</v>
      </c>
      <c r="P35" s="614" t="s">
        <v>518</v>
      </c>
      <c r="Q35" s="614" t="s">
        <v>96</v>
      </c>
      <c r="R35" s="614" t="s">
        <v>97</v>
      </c>
      <c r="S35" s="614" t="s">
        <v>98</v>
      </c>
      <c r="T35" s="614" t="s">
        <v>99</v>
      </c>
      <c r="U35" s="614" t="s">
        <v>100</v>
      </c>
      <c r="V35" s="614" t="s">
        <v>101</v>
      </c>
      <c r="W35" s="613" t="s">
        <v>102</v>
      </c>
      <c r="X35" s="613" t="s">
        <v>877</v>
      </c>
      <c r="Y35" s="613" t="s">
        <v>287</v>
      </c>
      <c r="Z35" s="613" t="s">
        <v>103</v>
      </c>
      <c r="AA35" s="615" t="s">
        <v>288</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268</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275</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276</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277</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270</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271</v>
      </c>
      <c r="C45" s="596" t="s">
        <v>272</v>
      </c>
      <c r="D45" s="596"/>
      <c r="E45" s="596"/>
      <c r="F45" s="596"/>
      <c r="G45" s="596"/>
      <c r="H45" s="596"/>
      <c r="I45" s="597"/>
      <c r="J45" s="596"/>
      <c r="K45" s="596"/>
      <c r="L45" s="596"/>
      <c r="M45" s="596"/>
      <c r="N45" s="596"/>
      <c r="O45" s="596"/>
      <c r="P45" s="591"/>
    </row>
    <row r="46" spans="1:28">
      <c r="A46" s="593" t="s">
        <v>268</v>
      </c>
      <c r="B46" s="598">
        <f>IF(ISERROR(O30/(O30+N30)),0,O30/(O30+N30))</f>
        <v>0.58823529411764708</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518</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273</v>
      </c>
      <c r="B49" s="608">
        <f t="shared" ref="B49:I49" si="2">$C$46*P30</f>
        <v>0</v>
      </c>
      <c r="C49" s="608">
        <f t="shared" si="2"/>
        <v>102.70588235294116</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274</v>
      </c>
      <c r="B50" s="611">
        <f t="shared" ref="B50:I50" si="3">$B$46*P30</f>
        <v>0</v>
      </c>
      <c r="C50" s="611">
        <f t="shared" si="3"/>
        <v>146.72268907563023</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8115.2911273468217</v>
      </c>
      <c r="D10" s="931">
        <f ca="1">tertiair!C16</f>
        <v>62.357142857142847</v>
      </c>
      <c r="E10" s="931">
        <f ca="1">tertiair!D16</f>
        <v>11358.248021628951</v>
      </c>
      <c r="F10" s="931">
        <f>tertiair!E16</f>
        <v>73.795816384071216</v>
      </c>
      <c r="G10" s="931">
        <f ca="1">tertiair!F16</f>
        <v>1349.46575117815</v>
      </c>
      <c r="H10" s="931">
        <f>tertiair!G16</f>
        <v>0</v>
      </c>
      <c r="I10" s="931">
        <f>tertiair!H16</f>
        <v>0</v>
      </c>
      <c r="J10" s="931">
        <f>tertiair!I16</f>
        <v>0</v>
      </c>
      <c r="K10" s="931">
        <f>tertiair!J16</f>
        <v>1.1001392162225721E-2</v>
      </c>
      <c r="L10" s="931">
        <f>tertiair!K16</f>
        <v>0</v>
      </c>
      <c r="M10" s="931">
        <f ca="1">tertiair!L16</f>
        <v>0</v>
      </c>
      <c r="N10" s="931">
        <f>tertiair!M16</f>
        <v>0</v>
      </c>
      <c r="O10" s="931">
        <f ca="1">tertiair!N16</f>
        <v>327.50009972290638</v>
      </c>
      <c r="P10" s="931">
        <f>tertiair!O16</f>
        <v>1.5633333333333335</v>
      </c>
      <c r="Q10" s="932">
        <f>tertiair!P16</f>
        <v>0</v>
      </c>
      <c r="R10" s="628">
        <f ca="1">SUM(C10:Q10)</f>
        <v>21288.232293843539</v>
      </c>
      <c r="S10" s="67"/>
    </row>
    <row r="11" spans="1:19" s="437" customFormat="1">
      <c r="A11" s="736" t="s">
        <v>213</v>
      </c>
      <c r="B11" s="741"/>
      <c r="C11" s="931">
        <f>huishoudens!B8</f>
        <v>13719.944840834738</v>
      </c>
      <c r="D11" s="931">
        <f>huishoudens!C8</f>
        <v>0</v>
      </c>
      <c r="E11" s="931">
        <f>huishoudens!D8</f>
        <v>47510.20049208682</v>
      </c>
      <c r="F11" s="931">
        <f>huishoudens!E8</f>
        <v>374.74233055342762</v>
      </c>
      <c r="G11" s="931">
        <f>huishoudens!F8</f>
        <v>8686.2356666241812</v>
      </c>
      <c r="H11" s="931">
        <f>huishoudens!G8</f>
        <v>0</v>
      </c>
      <c r="I11" s="931">
        <f>huishoudens!H8</f>
        <v>0</v>
      </c>
      <c r="J11" s="931">
        <f>huishoudens!I8</f>
        <v>0</v>
      </c>
      <c r="K11" s="931">
        <f>huishoudens!J8</f>
        <v>44.639599975319967</v>
      </c>
      <c r="L11" s="931">
        <f>huishoudens!K8</f>
        <v>0</v>
      </c>
      <c r="M11" s="931">
        <f>huishoudens!L8</f>
        <v>0</v>
      </c>
      <c r="N11" s="931">
        <f>huishoudens!M8</f>
        <v>0</v>
      </c>
      <c r="O11" s="931">
        <f>huishoudens!N8</f>
        <v>4011.2909556078484</v>
      </c>
      <c r="P11" s="931">
        <f>huishoudens!O8</f>
        <v>101.61666666666667</v>
      </c>
      <c r="Q11" s="932">
        <f>huishoudens!P8</f>
        <v>1468.1333333333332</v>
      </c>
      <c r="R11" s="628">
        <f>SUM(C11:Q11)</f>
        <v>75916.803885682326</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942.804332117341</v>
      </c>
      <c r="D13" s="931">
        <f>industrie!C18</f>
        <v>0</v>
      </c>
      <c r="E13" s="931">
        <f>industrie!D18</f>
        <v>1531.384528357549</v>
      </c>
      <c r="F13" s="931">
        <f>industrie!E18</f>
        <v>12.690271093870109</v>
      </c>
      <c r="G13" s="931">
        <f>industrie!F18</f>
        <v>179.14001496677332</v>
      </c>
      <c r="H13" s="931">
        <f>industrie!G18</f>
        <v>0</v>
      </c>
      <c r="I13" s="931">
        <f>industrie!H18</f>
        <v>0</v>
      </c>
      <c r="J13" s="931">
        <f>industrie!I18</f>
        <v>0</v>
      </c>
      <c r="K13" s="931">
        <f>industrie!J18</f>
        <v>0.68355957660802147</v>
      </c>
      <c r="L13" s="931">
        <f>industrie!K18</f>
        <v>0</v>
      </c>
      <c r="M13" s="931">
        <f>industrie!L18</f>
        <v>0</v>
      </c>
      <c r="N13" s="931">
        <f>industrie!M18</f>
        <v>0</v>
      </c>
      <c r="O13" s="931">
        <f>industrie!N18</f>
        <v>29.51555570737418</v>
      </c>
      <c r="P13" s="931">
        <f>industrie!O18</f>
        <v>0</v>
      </c>
      <c r="Q13" s="932">
        <f>industrie!P18</f>
        <v>0</v>
      </c>
      <c r="R13" s="628">
        <f>SUM(C13:Q13)</f>
        <v>2696.2182618195156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22778.040300298901</v>
      </c>
      <c r="D16" s="660">
        <f t="shared" ref="D16:R16" ca="1" si="0">SUM(D9:D15)</f>
        <v>62.357142857142847</v>
      </c>
      <c r="E16" s="660">
        <f t="shared" ca="1" si="0"/>
        <v>60399.833042073325</v>
      </c>
      <c r="F16" s="660">
        <f t="shared" si="0"/>
        <v>461.22841803136896</v>
      </c>
      <c r="G16" s="660">
        <f t="shared" ca="1" si="0"/>
        <v>10214.841432769104</v>
      </c>
      <c r="H16" s="660">
        <f t="shared" si="0"/>
        <v>0</v>
      </c>
      <c r="I16" s="660">
        <f t="shared" si="0"/>
        <v>0</v>
      </c>
      <c r="J16" s="660">
        <f t="shared" si="0"/>
        <v>0</v>
      </c>
      <c r="K16" s="660">
        <f t="shared" si="0"/>
        <v>45.334160944090215</v>
      </c>
      <c r="L16" s="660">
        <f t="shared" si="0"/>
        <v>0</v>
      </c>
      <c r="M16" s="660">
        <f t="shared" ca="1" si="0"/>
        <v>0</v>
      </c>
      <c r="N16" s="660">
        <f t="shared" si="0"/>
        <v>0</v>
      </c>
      <c r="O16" s="660">
        <f t="shared" ca="1" si="0"/>
        <v>4368.3066110381287</v>
      </c>
      <c r="P16" s="660">
        <f t="shared" si="0"/>
        <v>103.18</v>
      </c>
      <c r="Q16" s="660">
        <f t="shared" si="0"/>
        <v>1468.1333333333332</v>
      </c>
      <c r="R16" s="660">
        <f t="shared" ca="1" si="0"/>
        <v>99901.254441345387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9.1817611115481412</v>
      </c>
      <c r="D19" s="931">
        <f>transport!C54</f>
        <v>0</v>
      </c>
      <c r="E19" s="931">
        <f>transport!D54</f>
        <v>0</v>
      </c>
      <c r="F19" s="931">
        <f>transport!E54</f>
        <v>0</v>
      </c>
      <c r="G19" s="931">
        <f>transport!F54</f>
        <v>0</v>
      </c>
      <c r="H19" s="931">
        <f>transport!G54</f>
        <v>862.53533516949653</v>
      </c>
      <c r="I19" s="931">
        <f>transport!H54</f>
        <v>0</v>
      </c>
      <c r="J19" s="931">
        <f>transport!I54</f>
        <v>0</v>
      </c>
      <c r="K19" s="931">
        <f>transport!J54</f>
        <v>0</v>
      </c>
      <c r="L19" s="931">
        <f>transport!K54</f>
        <v>0</v>
      </c>
      <c r="M19" s="931">
        <f>transport!L54</f>
        <v>0</v>
      </c>
      <c r="N19" s="931">
        <f>transport!M54</f>
        <v>49.670820203399693</v>
      </c>
      <c r="O19" s="931">
        <f>transport!N54</f>
        <v>0</v>
      </c>
      <c r="P19" s="931">
        <f>transport!O54</f>
        <v>0</v>
      </c>
      <c r="Q19" s="932">
        <f>transport!P54</f>
        <v>0</v>
      </c>
      <c r="R19" s="628">
        <f>SUM(C19:Q19)</f>
        <v>921.3879164844443</v>
      </c>
      <c r="S19" s="67"/>
    </row>
    <row r="20" spans="1:19" s="437" customFormat="1">
      <c r="A20" s="736" t="s">
        <v>295</v>
      </c>
      <c r="B20" s="741"/>
      <c r="C20" s="931">
        <f>transport!B14</f>
        <v>9.1056456270303414</v>
      </c>
      <c r="D20" s="931">
        <f>transport!C14</f>
        <v>0</v>
      </c>
      <c r="E20" s="931">
        <f>transport!D14</f>
        <v>16.401179057142333</v>
      </c>
      <c r="F20" s="931">
        <f>transport!E14</f>
        <v>28.123305180046419</v>
      </c>
      <c r="G20" s="931">
        <f>transport!F14</f>
        <v>0</v>
      </c>
      <c r="H20" s="931">
        <f>transport!G14</f>
        <v>9480.3903542908538</v>
      </c>
      <c r="I20" s="931">
        <f>transport!H14</f>
        <v>2824.0364038643283</v>
      </c>
      <c r="J20" s="931">
        <f>transport!I14</f>
        <v>0</v>
      </c>
      <c r="K20" s="931">
        <f>transport!J14</f>
        <v>0</v>
      </c>
      <c r="L20" s="931">
        <f>transport!K14</f>
        <v>0</v>
      </c>
      <c r="M20" s="931">
        <f>transport!L14</f>
        <v>0</v>
      </c>
      <c r="N20" s="931">
        <f>transport!M14</f>
        <v>637.03780808487272</v>
      </c>
      <c r="O20" s="931">
        <f>transport!N14</f>
        <v>0</v>
      </c>
      <c r="P20" s="931">
        <f>transport!O14</f>
        <v>0</v>
      </c>
      <c r="Q20" s="932">
        <f>transport!P14</f>
        <v>0</v>
      </c>
      <c r="R20" s="628">
        <f>SUM(C20:Q20)</f>
        <v>12995.094696104274</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18.287406738578483</v>
      </c>
      <c r="D22" s="739">
        <f t="shared" ref="D22:R22" si="1">SUM(D18:D21)</f>
        <v>0</v>
      </c>
      <c r="E22" s="739">
        <f t="shared" si="1"/>
        <v>16.401179057142333</v>
      </c>
      <c r="F22" s="739">
        <f t="shared" si="1"/>
        <v>28.123305180046419</v>
      </c>
      <c r="G22" s="739">
        <f t="shared" si="1"/>
        <v>0</v>
      </c>
      <c r="H22" s="739">
        <f t="shared" si="1"/>
        <v>10342.92568946035</v>
      </c>
      <c r="I22" s="739">
        <f t="shared" si="1"/>
        <v>2824.0364038643283</v>
      </c>
      <c r="J22" s="739">
        <f t="shared" si="1"/>
        <v>0</v>
      </c>
      <c r="K22" s="739">
        <f t="shared" si="1"/>
        <v>0</v>
      </c>
      <c r="L22" s="739">
        <f t="shared" si="1"/>
        <v>0</v>
      </c>
      <c r="M22" s="739">
        <f t="shared" si="1"/>
        <v>0</v>
      </c>
      <c r="N22" s="739">
        <f t="shared" si="1"/>
        <v>686.70862828827239</v>
      </c>
      <c r="O22" s="739">
        <f t="shared" si="1"/>
        <v>0</v>
      </c>
      <c r="P22" s="739">
        <f t="shared" si="1"/>
        <v>0</v>
      </c>
      <c r="Q22" s="739">
        <f t="shared" si="1"/>
        <v>0</v>
      </c>
      <c r="R22" s="739">
        <f t="shared" si="1"/>
        <v>13916.482612588718</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266.83319640090298</v>
      </c>
      <c r="D24" s="931">
        <f>+landbouw!C8</f>
        <v>62.357142857142847</v>
      </c>
      <c r="E24" s="931">
        <f>+landbouw!D8</f>
        <v>56.839023135063954</v>
      </c>
      <c r="F24" s="931">
        <f>+landbouw!E8</f>
        <v>8.6596143744851481</v>
      </c>
      <c r="G24" s="931">
        <f>+landbouw!F8</f>
        <v>984.39943968934813</v>
      </c>
      <c r="H24" s="931">
        <f>+landbouw!G8</f>
        <v>0</v>
      </c>
      <c r="I24" s="931">
        <f>+landbouw!H8</f>
        <v>0</v>
      </c>
      <c r="J24" s="931">
        <f>+landbouw!I8</f>
        <v>0</v>
      </c>
      <c r="K24" s="931">
        <f>+landbouw!J8</f>
        <v>70.174371951904035</v>
      </c>
      <c r="L24" s="931">
        <f>+landbouw!K8</f>
        <v>0</v>
      </c>
      <c r="M24" s="931">
        <f>+landbouw!L8</f>
        <v>0</v>
      </c>
      <c r="N24" s="931">
        <f>+landbouw!M8</f>
        <v>0</v>
      </c>
      <c r="O24" s="931">
        <f>+landbouw!N8</f>
        <v>0</v>
      </c>
      <c r="P24" s="931">
        <f>+landbouw!O8</f>
        <v>0</v>
      </c>
      <c r="Q24" s="932">
        <f>+landbouw!P8</f>
        <v>0</v>
      </c>
      <c r="R24" s="628">
        <f>SUM(C24:Q24)</f>
        <v>1449.262788408847</v>
      </c>
      <c r="S24" s="67"/>
    </row>
    <row r="25" spans="1:19" s="437" customFormat="1" ht="15" thickBot="1">
      <c r="A25" s="758" t="s">
        <v>775</v>
      </c>
      <c r="B25" s="934"/>
      <c r="C25" s="935">
        <f>IF(Onbekend_ele_kWh="---",0,Onbekend_ele_kWh)/1000+IF(REST_rest_ele_kWh="---",0,REST_rest_ele_kWh)/1000</f>
        <v>414.26635551522401</v>
      </c>
      <c r="D25" s="935"/>
      <c r="E25" s="935">
        <f>IF(onbekend_gas_kWh="---",0,onbekend_gas_kWh)/1000+IF(REST_rest_gas_kWh="---",0,REST_rest_gas_kWh)/1000</f>
        <v>1399.5616202992001</v>
      </c>
      <c r="F25" s="935"/>
      <c r="G25" s="935"/>
      <c r="H25" s="935"/>
      <c r="I25" s="935"/>
      <c r="J25" s="935"/>
      <c r="K25" s="935"/>
      <c r="L25" s="935"/>
      <c r="M25" s="935"/>
      <c r="N25" s="935"/>
      <c r="O25" s="935"/>
      <c r="P25" s="935"/>
      <c r="Q25" s="936"/>
      <c r="R25" s="628">
        <f>SUM(C25:Q25)</f>
        <v>1813.827975814424</v>
      </c>
      <c r="S25" s="67"/>
    </row>
    <row r="26" spans="1:19" s="437" customFormat="1" ht="15.75" thickBot="1">
      <c r="A26" s="633" t="s">
        <v>776</v>
      </c>
      <c r="B26" s="744"/>
      <c r="C26" s="739">
        <f>SUM(C24:C25)</f>
        <v>681.09955191612698</v>
      </c>
      <c r="D26" s="739">
        <f t="shared" ref="D26:R26" si="2">SUM(D24:D25)</f>
        <v>62.357142857142847</v>
      </c>
      <c r="E26" s="739">
        <f t="shared" si="2"/>
        <v>1456.4006434342641</v>
      </c>
      <c r="F26" s="739">
        <f t="shared" si="2"/>
        <v>8.6596143744851481</v>
      </c>
      <c r="G26" s="739">
        <f t="shared" si="2"/>
        <v>984.39943968934813</v>
      </c>
      <c r="H26" s="739">
        <f t="shared" si="2"/>
        <v>0</v>
      </c>
      <c r="I26" s="739">
        <f t="shared" si="2"/>
        <v>0</v>
      </c>
      <c r="J26" s="739">
        <f t="shared" si="2"/>
        <v>0</v>
      </c>
      <c r="K26" s="739">
        <f t="shared" si="2"/>
        <v>70.174371951904035</v>
      </c>
      <c r="L26" s="739">
        <f t="shared" si="2"/>
        <v>0</v>
      </c>
      <c r="M26" s="739">
        <f t="shared" si="2"/>
        <v>0</v>
      </c>
      <c r="N26" s="739">
        <f t="shared" si="2"/>
        <v>0</v>
      </c>
      <c r="O26" s="739">
        <f t="shared" si="2"/>
        <v>0</v>
      </c>
      <c r="P26" s="739">
        <f t="shared" si="2"/>
        <v>0</v>
      </c>
      <c r="Q26" s="739">
        <f t="shared" si="2"/>
        <v>0</v>
      </c>
      <c r="R26" s="739">
        <f t="shared" si="2"/>
        <v>3263.090764223271</v>
      </c>
      <c r="S26" s="67"/>
    </row>
    <row r="27" spans="1:19" s="437" customFormat="1" ht="17.25" thickTop="1" thickBot="1">
      <c r="A27" s="634" t="s">
        <v>109</v>
      </c>
      <c r="B27" s="732"/>
      <c r="C27" s="635">
        <f ca="1">C22+C16+C26</f>
        <v>23477.427258953605</v>
      </c>
      <c r="D27" s="635">
        <f t="shared" ref="D27:R27" ca="1" si="3">D22+D16+D26</f>
        <v>124.71428571428569</v>
      </c>
      <c r="E27" s="635">
        <f t="shared" ca="1" si="3"/>
        <v>61872.634864564738</v>
      </c>
      <c r="F27" s="635">
        <f t="shared" si="3"/>
        <v>498.01133758590055</v>
      </c>
      <c r="G27" s="635">
        <f t="shared" ca="1" si="3"/>
        <v>11199.240872458453</v>
      </c>
      <c r="H27" s="635">
        <f t="shared" si="3"/>
        <v>10342.92568946035</v>
      </c>
      <c r="I27" s="635">
        <f t="shared" si="3"/>
        <v>2824.0364038643283</v>
      </c>
      <c r="J27" s="635">
        <f t="shared" si="3"/>
        <v>0</v>
      </c>
      <c r="K27" s="635">
        <f t="shared" si="3"/>
        <v>115.50853289599425</v>
      </c>
      <c r="L27" s="635">
        <f t="shared" si="3"/>
        <v>0</v>
      </c>
      <c r="M27" s="635">
        <f t="shared" ca="1" si="3"/>
        <v>0</v>
      </c>
      <c r="N27" s="635">
        <f t="shared" si="3"/>
        <v>686.70862828827239</v>
      </c>
      <c r="O27" s="635">
        <f t="shared" ca="1" si="3"/>
        <v>4368.3066110381287</v>
      </c>
      <c r="P27" s="635">
        <f t="shared" si="3"/>
        <v>103.18</v>
      </c>
      <c r="Q27" s="635">
        <f t="shared" si="3"/>
        <v>1468.1333333333332</v>
      </c>
      <c r="R27" s="635">
        <f t="shared" ca="1" si="3"/>
        <v>117080.82781815738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1699.3446339139459</v>
      </c>
      <c r="D40" s="931">
        <f ca="1">tertiair!C20</f>
        <v>0</v>
      </c>
      <c r="E40" s="931">
        <f ca="1">tertiair!D20</f>
        <v>2294.3661003690481</v>
      </c>
      <c r="F40" s="931">
        <f>tertiair!E20</f>
        <v>16.751650319184165</v>
      </c>
      <c r="G40" s="931">
        <f ca="1">tertiair!F20</f>
        <v>360.30735556456608</v>
      </c>
      <c r="H40" s="931">
        <f>tertiair!G20</f>
        <v>0</v>
      </c>
      <c r="I40" s="931">
        <f>tertiair!H20</f>
        <v>0</v>
      </c>
      <c r="J40" s="931">
        <f>tertiair!I20</f>
        <v>0</v>
      </c>
      <c r="K40" s="931">
        <f>tertiair!J20</f>
        <v>3.8944928254279051E-3</v>
      </c>
      <c r="L40" s="931">
        <f>tertiair!K20</f>
        <v>0</v>
      </c>
      <c r="M40" s="931">
        <f ca="1">tertiair!L20</f>
        <v>0</v>
      </c>
      <c r="N40" s="931">
        <f>tertiair!M20</f>
        <v>0</v>
      </c>
      <c r="O40" s="931">
        <f ca="1">tertiair!N20</f>
        <v>0</v>
      </c>
      <c r="P40" s="931">
        <f>tertiair!O20</f>
        <v>0</v>
      </c>
      <c r="Q40" s="702">
        <f>tertiair!P20</f>
        <v>0</v>
      </c>
      <c r="R40" s="777">
        <f t="shared" ca="1" si="4"/>
        <v>4370.7736346595702</v>
      </c>
    </row>
    <row r="41" spans="1:18">
      <c r="A41" s="749" t="s">
        <v>213</v>
      </c>
      <c r="B41" s="756"/>
      <c r="C41" s="931">
        <f ca="1">huishoudens!B12</f>
        <v>2872.9609667731438</v>
      </c>
      <c r="D41" s="931">
        <f ca="1">huishoudens!C12</f>
        <v>0</v>
      </c>
      <c r="E41" s="931">
        <f>huishoudens!D12</f>
        <v>9597.0604994015375</v>
      </c>
      <c r="F41" s="931">
        <f>huishoudens!E12</f>
        <v>85.066509035628073</v>
      </c>
      <c r="G41" s="931">
        <f>huishoudens!F12</f>
        <v>2319.2249229886565</v>
      </c>
      <c r="H41" s="931">
        <f>huishoudens!G12</f>
        <v>0</v>
      </c>
      <c r="I41" s="931">
        <f>huishoudens!H12</f>
        <v>0</v>
      </c>
      <c r="J41" s="931">
        <f>huishoudens!I12</f>
        <v>0</v>
      </c>
      <c r="K41" s="931">
        <f>huishoudens!J12</f>
        <v>15.802418391263268</v>
      </c>
      <c r="L41" s="931">
        <f>huishoudens!K12</f>
        <v>0</v>
      </c>
      <c r="M41" s="931">
        <f>huishoudens!L12</f>
        <v>0</v>
      </c>
      <c r="N41" s="931">
        <f>huishoudens!M12</f>
        <v>0</v>
      </c>
      <c r="O41" s="931">
        <f>huishoudens!N12</f>
        <v>0</v>
      </c>
      <c r="P41" s="931">
        <f>huishoudens!O12</f>
        <v>0</v>
      </c>
      <c r="Q41" s="702">
        <f>huishoudens!P12</f>
        <v>0</v>
      </c>
      <c r="R41" s="777">
        <f t="shared" ca="1" si="4"/>
        <v>14890.115316590231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197.42353755067629</v>
      </c>
      <c r="D43" s="931">
        <f ca="1">industrie!C22</f>
        <v>0</v>
      </c>
      <c r="E43" s="931">
        <f>industrie!D22</f>
        <v>309.33967472822491</v>
      </c>
      <c r="F43" s="931">
        <f>industrie!E22</f>
        <v>2.8806915383085148</v>
      </c>
      <c r="G43" s="931">
        <f>industrie!F22</f>
        <v>47.830383996128482</v>
      </c>
      <c r="H43" s="931">
        <f>industrie!G22</f>
        <v>0</v>
      </c>
      <c r="I43" s="931">
        <f>industrie!H22</f>
        <v>0</v>
      </c>
      <c r="J43" s="931">
        <f>industrie!I22</f>
        <v>0</v>
      </c>
      <c r="K43" s="931">
        <f>industrie!J22</f>
        <v>0.2419800901192396</v>
      </c>
      <c r="L43" s="931">
        <f>industrie!K22</f>
        <v>0</v>
      </c>
      <c r="M43" s="931">
        <f>industrie!L22</f>
        <v>0</v>
      </c>
      <c r="N43" s="931">
        <f>industrie!M22</f>
        <v>0</v>
      </c>
      <c r="O43" s="931">
        <f>industrie!N22</f>
        <v>0</v>
      </c>
      <c r="P43" s="931">
        <f>industrie!O22</f>
        <v>0</v>
      </c>
      <c r="Q43" s="702">
        <f>industrie!P22</f>
        <v>0</v>
      </c>
      <c r="R43" s="776">
        <f t="shared" ca="1" si="4"/>
        <v>557.71626790345738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4769.7291382377662</v>
      </c>
      <c r="D46" s="660">
        <f t="shared" ref="D46:Q46" ca="1" si="5">SUM(D39:D45)</f>
        <v>0</v>
      </c>
      <c r="E46" s="660">
        <f t="shared" ca="1" si="5"/>
        <v>12200.76627449881</v>
      </c>
      <c r="F46" s="660">
        <f t="shared" si="5"/>
        <v>104.69885089312075</v>
      </c>
      <c r="G46" s="660">
        <f t="shared" ca="1" si="5"/>
        <v>2727.3626625493512</v>
      </c>
      <c r="H46" s="660">
        <f t="shared" si="5"/>
        <v>0</v>
      </c>
      <c r="I46" s="660">
        <f t="shared" si="5"/>
        <v>0</v>
      </c>
      <c r="J46" s="660">
        <f t="shared" si="5"/>
        <v>0</v>
      </c>
      <c r="K46" s="660">
        <f t="shared" si="5"/>
        <v>16.048292974207936</v>
      </c>
      <c r="L46" s="660">
        <f t="shared" si="5"/>
        <v>0</v>
      </c>
      <c r="M46" s="660">
        <f t="shared" ca="1" si="5"/>
        <v>0</v>
      </c>
      <c r="N46" s="660">
        <f t="shared" si="5"/>
        <v>0</v>
      </c>
      <c r="O46" s="660">
        <f t="shared" ca="1" si="5"/>
        <v>0</v>
      </c>
      <c r="P46" s="660">
        <f t="shared" si="5"/>
        <v>0</v>
      </c>
      <c r="Q46" s="660">
        <f t="shared" si="5"/>
        <v>0</v>
      </c>
      <c r="R46" s="660">
        <f ca="1">SUM(R39:R45)</f>
        <v>19818.605219153258</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1.9226637997262155</v>
      </c>
      <c r="D49" s="931">
        <f ca="1">transport!C58</f>
        <v>0</v>
      </c>
      <c r="E49" s="931">
        <f>transport!D58</f>
        <v>0</v>
      </c>
      <c r="F49" s="931">
        <f>transport!E58</f>
        <v>0</v>
      </c>
      <c r="G49" s="931">
        <f>transport!F58</f>
        <v>0</v>
      </c>
      <c r="H49" s="931">
        <f>transport!G58</f>
        <v>230.29693449025558</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232.2195982899818</v>
      </c>
    </row>
    <row r="50" spans="1:18">
      <c r="A50" s="752" t="s">
        <v>295</v>
      </c>
      <c r="B50" s="762"/>
      <c r="C50" s="631">
        <f ca="1">transport!B18</f>
        <v>1.9067251922082162</v>
      </c>
      <c r="D50" s="631">
        <f>transport!C18</f>
        <v>0</v>
      </c>
      <c r="E50" s="631">
        <f>transport!D18</f>
        <v>3.3130381695427515</v>
      </c>
      <c r="F50" s="631">
        <f>transport!E18</f>
        <v>6.3839902758705369</v>
      </c>
      <c r="G50" s="631">
        <f>transport!F18</f>
        <v>0</v>
      </c>
      <c r="H50" s="631">
        <f>transport!G18</f>
        <v>2531.2642245956581</v>
      </c>
      <c r="I50" s="631">
        <f>transport!H18</f>
        <v>703.1850645622178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3246.0530427954973</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3.8293889919344317</v>
      </c>
      <c r="D52" s="660">
        <f t="shared" ref="D52:Q52" ca="1" si="6">SUM(D48:D51)</f>
        <v>0</v>
      </c>
      <c r="E52" s="660">
        <f t="shared" si="6"/>
        <v>3.3130381695427515</v>
      </c>
      <c r="F52" s="660">
        <f t="shared" si="6"/>
        <v>6.3839902758705369</v>
      </c>
      <c r="G52" s="660">
        <f t="shared" si="6"/>
        <v>0</v>
      </c>
      <c r="H52" s="660">
        <f t="shared" si="6"/>
        <v>2761.5611590859135</v>
      </c>
      <c r="I52" s="660">
        <f t="shared" si="6"/>
        <v>703.1850645622178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3478.2726410854789</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55.874959177493707</v>
      </c>
      <c r="D54" s="631">
        <f ca="1">+landbouw!C12</f>
        <v>0</v>
      </c>
      <c r="E54" s="631">
        <f>+landbouw!D12</f>
        <v>11.481482673282919</v>
      </c>
      <c r="F54" s="631">
        <f>+landbouw!E12</f>
        <v>1.9657324630081288</v>
      </c>
      <c r="G54" s="631">
        <f>+landbouw!F12</f>
        <v>262.83465039705595</v>
      </c>
      <c r="H54" s="631">
        <f>+landbouw!G12</f>
        <v>0</v>
      </c>
      <c r="I54" s="631">
        <f>+landbouw!H12</f>
        <v>0</v>
      </c>
      <c r="J54" s="631">
        <f>+landbouw!I12</f>
        <v>0</v>
      </c>
      <c r="K54" s="631">
        <f>+landbouw!J12</f>
        <v>24.841727670974027</v>
      </c>
      <c r="L54" s="631">
        <f>+landbouw!K12</f>
        <v>0</v>
      </c>
      <c r="M54" s="631">
        <f>+landbouw!L12</f>
        <v>0</v>
      </c>
      <c r="N54" s="631">
        <f>+landbouw!M12</f>
        <v>0</v>
      </c>
      <c r="O54" s="631">
        <f>+landbouw!N12</f>
        <v>0</v>
      </c>
      <c r="P54" s="631">
        <f>+landbouw!O12</f>
        <v>0</v>
      </c>
      <c r="Q54" s="632">
        <f>+landbouw!P12</f>
        <v>0</v>
      </c>
      <c r="R54" s="659">
        <f ca="1">SUM(C54:Q54)</f>
        <v>356.99855238181476</v>
      </c>
    </row>
    <row r="55" spans="1:18" ht="15" thickBot="1">
      <c r="A55" s="752" t="s">
        <v>775</v>
      </c>
      <c r="B55" s="762"/>
      <c r="C55" s="631">
        <f ca="1">C25*'EF ele_warmte'!B12</f>
        <v>86.747511236363934</v>
      </c>
      <c r="D55" s="631"/>
      <c r="E55" s="631">
        <f>E25*EF_CO2_aardgas</f>
        <v>282.71144730043841</v>
      </c>
      <c r="F55" s="631"/>
      <c r="G55" s="631"/>
      <c r="H55" s="631"/>
      <c r="I55" s="631"/>
      <c r="J55" s="631"/>
      <c r="K55" s="631"/>
      <c r="L55" s="631"/>
      <c r="M55" s="631"/>
      <c r="N55" s="631"/>
      <c r="O55" s="631"/>
      <c r="P55" s="631"/>
      <c r="Q55" s="632"/>
      <c r="R55" s="659">
        <f ca="1">SUM(C55:Q55)</f>
        <v>369.45895853680236</v>
      </c>
    </row>
    <row r="56" spans="1:18" ht="15.75" thickBot="1">
      <c r="A56" s="750" t="s">
        <v>776</v>
      </c>
      <c r="B56" s="763"/>
      <c r="C56" s="660">
        <f ca="1">SUM(C54:C55)</f>
        <v>142.62247041385763</v>
      </c>
      <c r="D56" s="660">
        <f t="shared" ref="D56:Q56" ca="1" si="7">SUM(D54:D55)</f>
        <v>0</v>
      </c>
      <c r="E56" s="660">
        <f t="shared" si="7"/>
        <v>294.19292997372133</v>
      </c>
      <c r="F56" s="660">
        <f t="shared" si="7"/>
        <v>1.9657324630081288</v>
      </c>
      <c r="G56" s="660">
        <f t="shared" si="7"/>
        <v>262.83465039705595</v>
      </c>
      <c r="H56" s="660">
        <f t="shared" si="7"/>
        <v>0</v>
      </c>
      <c r="I56" s="660">
        <f t="shared" si="7"/>
        <v>0</v>
      </c>
      <c r="J56" s="660">
        <f t="shared" si="7"/>
        <v>0</v>
      </c>
      <c r="K56" s="660">
        <f t="shared" si="7"/>
        <v>24.841727670974027</v>
      </c>
      <c r="L56" s="660">
        <f t="shared" si="7"/>
        <v>0</v>
      </c>
      <c r="M56" s="660">
        <f t="shared" si="7"/>
        <v>0</v>
      </c>
      <c r="N56" s="660">
        <f t="shared" si="7"/>
        <v>0</v>
      </c>
      <c r="O56" s="660">
        <f t="shared" si="7"/>
        <v>0</v>
      </c>
      <c r="P56" s="660">
        <f t="shared" si="7"/>
        <v>0</v>
      </c>
      <c r="Q56" s="661">
        <f t="shared" si="7"/>
        <v>0</v>
      </c>
      <c r="R56" s="662">
        <f ca="1">SUM(R54:R55)</f>
        <v>726.45751091861712</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4916.1809976435579</v>
      </c>
      <c r="D61" s="668">
        <f t="shared" ref="D61:Q61" ca="1" si="8">D46+D52+D56</f>
        <v>0</v>
      </c>
      <c r="E61" s="668">
        <f t="shared" ca="1" si="8"/>
        <v>12498.272242642075</v>
      </c>
      <c r="F61" s="668">
        <f t="shared" si="8"/>
        <v>113.0485736319994</v>
      </c>
      <c r="G61" s="668">
        <f t="shared" ca="1" si="8"/>
        <v>2990.1973129464072</v>
      </c>
      <c r="H61" s="668">
        <f t="shared" si="8"/>
        <v>2761.5611590859135</v>
      </c>
      <c r="I61" s="668">
        <f t="shared" si="8"/>
        <v>703.1850645622178</v>
      </c>
      <c r="J61" s="668">
        <f t="shared" si="8"/>
        <v>0</v>
      </c>
      <c r="K61" s="668">
        <f t="shared" si="8"/>
        <v>40.890020645181963</v>
      </c>
      <c r="L61" s="668">
        <f t="shared" si="8"/>
        <v>0</v>
      </c>
      <c r="M61" s="668">
        <f t="shared" ca="1" si="8"/>
        <v>0</v>
      </c>
      <c r="N61" s="668">
        <f t="shared" si="8"/>
        <v>0</v>
      </c>
      <c r="O61" s="668">
        <f t="shared" ca="1" si="8"/>
        <v>0</v>
      </c>
      <c r="P61" s="668">
        <f t="shared" si="8"/>
        <v>0</v>
      </c>
      <c r="Q61" s="668">
        <f t="shared" si="8"/>
        <v>0</v>
      </c>
      <c r="R61" s="668">
        <f ca="1">R46+R52+R56</f>
        <v>24023.335371157351</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0.20940032923618879</v>
      </c>
      <c r="D63" s="709">
        <f t="shared" ca="1" si="9"/>
        <v>0</v>
      </c>
      <c r="E63" s="942">
        <f t="shared" ca="1" si="9"/>
        <v>0.20199999999999996</v>
      </c>
      <c r="F63" s="709">
        <f t="shared" si="9"/>
        <v>0.22699999999999995</v>
      </c>
      <c r="G63" s="709">
        <f t="shared" ca="1" si="9"/>
        <v>0.26700000000000002</v>
      </c>
      <c r="H63" s="709">
        <f t="shared" si="9"/>
        <v>0.26700000000000002</v>
      </c>
      <c r="I63" s="709">
        <f t="shared" si="9"/>
        <v>0.24900000000000003</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1144.9643736886376</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87.299999999999983</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102.70588235294116</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1232.2643736886375</v>
      </c>
      <c r="C78" s="683">
        <f>SUM(C72:C77)</f>
        <v>0</v>
      </c>
      <c r="D78" s="684">
        <f t="shared" ref="D78:H78" si="10">SUM(D76:D77)</f>
        <v>0</v>
      </c>
      <c r="E78" s="684">
        <f t="shared" si="10"/>
        <v>0</v>
      </c>
      <c r="F78" s="684">
        <f t="shared" si="10"/>
        <v>0</v>
      </c>
      <c r="G78" s="684">
        <f t="shared" si="10"/>
        <v>0</v>
      </c>
      <c r="H78" s="684">
        <f t="shared" si="10"/>
        <v>0</v>
      </c>
      <c r="I78" s="684">
        <f>SUM(I76:I77)</f>
        <v>0</v>
      </c>
      <c r="J78" s="684">
        <f>SUM(J76:J77)</f>
        <v>102.70588235294116</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124.71428571428569</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146.72268907563023</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124.71428571428569</v>
      </c>
      <c r="C90" s="683">
        <f>SUM(C87:C89)</f>
        <v>0</v>
      </c>
      <c r="D90" s="683">
        <f t="shared" ref="D90:H90" si="12">SUM(D87:D89)</f>
        <v>0</v>
      </c>
      <c r="E90" s="683">
        <f t="shared" si="12"/>
        <v>0</v>
      </c>
      <c r="F90" s="683">
        <f t="shared" si="12"/>
        <v>0</v>
      </c>
      <c r="G90" s="683">
        <f t="shared" si="12"/>
        <v>0</v>
      </c>
      <c r="H90" s="683">
        <f t="shared" si="12"/>
        <v>0</v>
      </c>
      <c r="I90" s="683">
        <f>SUM(I87:I89)</f>
        <v>0</v>
      </c>
      <c r="J90" s="683">
        <f>SUM(J87:J89)</f>
        <v>146.72268907563023</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13719.944840834738</v>
      </c>
      <c r="C4" s="441">
        <f>huishoudens!C8</f>
        <v>0</v>
      </c>
      <c r="D4" s="441">
        <f>huishoudens!D8</f>
        <v>47510.20049208682</v>
      </c>
      <c r="E4" s="441">
        <f>huishoudens!E8</f>
        <v>374.74233055342762</v>
      </c>
      <c r="F4" s="441">
        <f>huishoudens!F8</f>
        <v>8686.2356666241812</v>
      </c>
      <c r="G4" s="441">
        <f>huishoudens!G8</f>
        <v>0</v>
      </c>
      <c r="H4" s="441">
        <f>huishoudens!H8</f>
        <v>0</v>
      </c>
      <c r="I4" s="441">
        <f>huishoudens!I8</f>
        <v>0</v>
      </c>
      <c r="J4" s="441">
        <f>huishoudens!J8</f>
        <v>44.639599975319967</v>
      </c>
      <c r="K4" s="441">
        <f>huishoudens!K8</f>
        <v>0</v>
      </c>
      <c r="L4" s="441">
        <f>huishoudens!L8</f>
        <v>0</v>
      </c>
      <c r="M4" s="441">
        <f>huishoudens!M8</f>
        <v>0</v>
      </c>
      <c r="N4" s="441">
        <f>huishoudens!N8</f>
        <v>4011.2909556078484</v>
      </c>
      <c r="O4" s="441">
        <f>huishoudens!O8</f>
        <v>101.61666666666667</v>
      </c>
      <c r="P4" s="442">
        <f>huishoudens!P8</f>
        <v>1468.1333333333332</v>
      </c>
      <c r="Q4" s="443">
        <f>SUM(B4:P4)</f>
        <v>75916.803885682326</v>
      </c>
    </row>
    <row r="5" spans="1:17">
      <c r="A5" s="440" t="s">
        <v>149</v>
      </c>
      <c r="B5" s="441">
        <f ca="1">tertiair!B16</f>
        <v>7490.3651273468213</v>
      </c>
      <c r="C5" s="441">
        <f ca="1">tertiair!C16</f>
        <v>62.357142857142847</v>
      </c>
      <c r="D5" s="441">
        <f ca="1">tertiair!D16</f>
        <v>11358.248021628951</v>
      </c>
      <c r="E5" s="441">
        <f>tertiair!E16</f>
        <v>73.795816384071216</v>
      </c>
      <c r="F5" s="441">
        <f ca="1">tertiair!F16</f>
        <v>1349.46575117815</v>
      </c>
      <c r="G5" s="441">
        <f>tertiair!G16</f>
        <v>0</v>
      </c>
      <c r="H5" s="441">
        <f>tertiair!H16</f>
        <v>0</v>
      </c>
      <c r="I5" s="441">
        <f>tertiair!I16</f>
        <v>0</v>
      </c>
      <c r="J5" s="441">
        <f>tertiair!J16</f>
        <v>1.1001392162225721E-2</v>
      </c>
      <c r="K5" s="441">
        <f>tertiair!K16</f>
        <v>0</v>
      </c>
      <c r="L5" s="441">
        <f ca="1">tertiair!L16</f>
        <v>0</v>
      </c>
      <c r="M5" s="441">
        <f>tertiair!M16</f>
        <v>0</v>
      </c>
      <c r="N5" s="441">
        <f ca="1">tertiair!N16</f>
        <v>327.50009972290638</v>
      </c>
      <c r="O5" s="441">
        <f>tertiair!O16</f>
        <v>1.5633333333333335</v>
      </c>
      <c r="P5" s="442">
        <f>tertiair!P16</f>
        <v>0</v>
      </c>
      <c r="Q5" s="440">
        <f t="shared" ref="Q5:Q14" ca="1" si="0">SUM(B5:P5)</f>
        <v>20663.30629384354</v>
      </c>
    </row>
    <row r="6" spans="1:17">
      <c r="A6" s="440" t="s">
        <v>187</v>
      </c>
      <c r="B6" s="441">
        <f>'openbare verlichting'!B8</f>
        <v>624.92600000000004</v>
      </c>
      <c r="C6" s="441"/>
      <c r="D6" s="441"/>
      <c r="E6" s="441"/>
      <c r="F6" s="441"/>
      <c r="G6" s="441"/>
      <c r="H6" s="441"/>
      <c r="I6" s="441"/>
      <c r="J6" s="441"/>
      <c r="K6" s="441"/>
      <c r="L6" s="441"/>
      <c r="M6" s="441"/>
      <c r="N6" s="441"/>
      <c r="O6" s="441"/>
      <c r="P6" s="442"/>
      <c r="Q6" s="440">
        <f t="shared" si="0"/>
        <v>624.92600000000004</v>
      </c>
    </row>
    <row r="7" spans="1:17">
      <c r="A7" s="440" t="s">
        <v>105</v>
      </c>
      <c r="B7" s="441">
        <f>landbouw!B8</f>
        <v>266.83319640090298</v>
      </c>
      <c r="C7" s="441">
        <f>landbouw!C8</f>
        <v>62.357142857142847</v>
      </c>
      <c r="D7" s="441">
        <f>landbouw!D8</f>
        <v>56.839023135063954</v>
      </c>
      <c r="E7" s="441">
        <f>landbouw!E8</f>
        <v>8.6596143744851481</v>
      </c>
      <c r="F7" s="441">
        <f>landbouw!F8</f>
        <v>984.39943968934813</v>
      </c>
      <c r="G7" s="441">
        <f>landbouw!G8</f>
        <v>0</v>
      </c>
      <c r="H7" s="441">
        <f>landbouw!H8</f>
        <v>0</v>
      </c>
      <c r="I7" s="441">
        <f>landbouw!I8</f>
        <v>0</v>
      </c>
      <c r="J7" s="441">
        <f>landbouw!J8</f>
        <v>70.174371951904035</v>
      </c>
      <c r="K7" s="441">
        <f>landbouw!K8</f>
        <v>0</v>
      </c>
      <c r="L7" s="441">
        <f>landbouw!L8</f>
        <v>0</v>
      </c>
      <c r="M7" s="441">
        <f>landbouw!M8</f>
        <v>0</v>
      </c>
      <c r="N7" s="441">
        <f>landbouw!N8</f>
        <v>0</v>
      </c>
      <c r="O7" s="441">
        <f>landbouw!O8</f>
        <v>0</v>
      </c>
      <c r="P7" s="442">
        <f>landbouw!P8</f>
        <v>0</v>
      </c>
      <c r="Q7" s="440">
        <f t="shared" si="0"/>
        <v>1449.262788408847</v>
      </c>
    </row>
    <row r="8" spans="1:17">
      <c r="A8" s="440" t="s">
        <v>596</v>
      </c>
      <c r="B8" s="441">
        <f>industrie!B18</f>
        <v>942.804332117341</v>
      </c>
      <c r="C8" s="441">
        <f>industrie!C18</f>
        <v>0</v>
      </c>
      <c r="D8" s="441">
        <f>industrie!D18</f>
        <v>1531.384528357549</v>
      </c>
      <c r="E8" s="441">
        <f>industrie!E18</f>
        <v>12.690271093870109</v>
      </c>
      <c r="F8" s="441">
        <f>industrie!F18</f>
        <v>179.14001496677332</v>
      </c>
      <c r="G8" s="441">
        <f>industrie!G18</f>
        <v>0</v>
      </c>
      <c r="H8" s="441">
        <f>industrie!H18</f>
        <v>0</v>
      </c>
      <c r="I8" s="441">
        <f>industrie!I18</f>
        <v>0</v>
      </c>
      <c r="J8" s="441">
        <f>industrie!J18</f>
        <v>0.68355957660802147</v>
      </c>
      <c r="K8" s="441">
        <f>industrie!K18</f>
        <v>0</v>
      </c>
      <c r="L8" s="441">
        <f>industrie!L18</f>
        <v>0</v>
      </c>
      <c r="M8" s="441">
        <f>industrie!M18</f>
        <v>0</v>
      </c>
      <c r="N8" s="441">
        <f>industrie!N18</f>
        <v>29.51555570737418</v>
      </c>
      <c r="O8" s="441">
        <f>industrie!O18</f>
        <v>0</v>
      </c>
      <c r="P8" s="442">
        <f>industrie!P18</f>
        <v>0</v>
      </c>
      <c r="Q8" s="440">
        <f t="shared" si="0"/>
        <v>2696.2182618195156</v>
      </c>
    </row>
    <row r="9" spans="1:17" s="446" customFormat="1">
      <c r="A9" s="444" t="s">
        <v>545</v>
      </c>
      <c r="B9" s="445">
        <f>transport!B14</f>
        <v>9.1056456270303414</v>
      </c>
      <c r="C9" s="445">
        <f>transport!C14</f>
        <v>0</v>
      </c>
      <c r="D9" s="445">
        <f>transport!D14</f>
        <v>16.401179057142333</v>
      </c>
      <c r="E9" s="445">
        <f>transport!E14</f>
        <v>28.123305180046419</v>
      </c>
      <c r="F9" s="445">
        <f>transport!F14</f>
        <v>0</v>
      </c>
      <c r="G9" s="445">
        <f>transport!G14</f>
        <v>9480.3903542908538</v>
      </c>
      <c r="H9" s="445">
        <f>transport!H14</f>
        <v>2824.0364038643283</v>
      </c>
      <c r="I9" s="445">
        <f>transport!I14</f>
        <v>0</v>
      </c>
      <c r="J9" s="445">
        <f>transport!J14</f>
        <v>0</v>
      </c>
      <c r="K9" s="445">
        <f>transport!K14</f>
        <v>0</v>
      </c>
      <c r="L9" s="445">
        <f>transport!L14</f>
        <v>0</v>
      </c>
      <c r="M9" s="445">
        <f>transport!M14</f>
        <v>637.03780808487272</v>
      </c>
      <c r="N9" s="445">
        <f>transport!N14</f>
        <v>0</v>
      </c>
      <c r="O9" s="445">
        <f>transport!O14</f>
        <v>0</v>
      </c>
      <c r="P9" s="445">
        <f>transport!P14</f>
        <v>0</v>
      </c>
      <c r="Q9" s="444">
        <f>SUM(B9:P9)</f>
        <v>12995.094696104274</v>
      </c>
    </row>
    <row r="10" spans="1:17">
      <c r="A10" s="440" t="s">
        <v>535</v>
      </c>
      <c r="B10" s="441">
        <f>transport!B54</f>
        <v>9.1817611115481412</v>
      </c>
      <c r="C10" s="441">
        <f>transport!C54</f>
        <v>0</v>
      </c>
      <c r="D10" s="441">
        <f>transport!D54</f>
        <v>0</v>
      </c>
      <c r="E10" s="441">
        <f>transport!E54</f>
        <v>0</v>
      </c>
      <c r="F10" s="441">
        <f>transport!F54</f>
        <v>0</v>
      </c>
      <c r="G10" s="441">
        <f>transport!G54</f>
        <v>862.53533516949653</v>
      </c>
      <c r="H10" s="441">
        <f>transport!H54</f>
        <v>0</v>
      </c>
      <c r="I10" s="441">
        <f>transport!I54</f>
        <v>0</v>
      </c>
      <c r="J10" s="441">
        <f>transport!J54</f>
        <v>0</v>
      </c>
      <c r="K10" s="441">
        <f>transport!K54</f>
        <v>0</v>
      </c>
      <c r="L10" s="441">
        <f>transport!L54</f>
        <v>0</v>
      </c>
      <c r="M10" s="441">
        <f>transport!M54</f>
        <v>49.670820203399693</v>
      </c>
      <c r="N10" s="441">
        <f>transport!N54</f>
        <v>0</v>
      </c>
      <c r="O10" s="441">
        <f>transport!O54</f>
        <v>0</v>
      </c>
      <c r="P10" s="442">
        <f>transport!P54</f>
        <v>0</v>
      </c>
      <c r="Q10" s="440">
        <f t="shared" si="0"/>
        <v>921.3879164844443</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414.26635551522401</v>
      </c>
      <c r="C14" s="448"/>
      <c r="D14" s="448">
        <f>'SEAP template'!E25</f>
        <v>1399.5616202992001</v>
      </c>
      <c r="E14" s="448"/>
      <c r="F14" s="448"/>
      <c r="G14" s="448"/>
      <c r="H14" s="448"/>
      <c r="I14" s="448"/>
      <c r="J14" s="448"/>
      <c r="K14" s="448"/>
      <c r="L14" s="448"/>
      <c r="M14" s="448"/>
      <c r="N14" s="448"/>
      <c r="O14" s="448"/>
      <c r="P14" s="449"/>
      <c r="Q14" s="440">
        <f t="shared" si="0"/>
        <v>1813.827975814424</v>
      </c>
    </row>
    <row r="15" spans="1:17" s="450" customFormat="1">
      <c r="A15" s="957" t="s">
        <v>539</v>
      </c>
      <c r="B15" s="905">
        <f ca="1">SUM(B4:B14)</f>
        <v>23477.427258953605</v>
      </c>
      <c r="C15" s="905">
        <f t="shared" ref="C15:Q15" ca="1" si="1">SUM(C4:C14)</f>
        <v>124.71428571428569</v>
      </c>
      <c r="D15" s="905">
        <f t="shared" ca="1" si="1"/>
        <v>61872.634864564738</v>
      </c>
      <c r="E15" s="905">
        <f t="shared" si="1"/>
        <v>498.01133758590055</v>
      </c>
      <c r="F15" s="905">
        <f t="shared" ca="1" si="1"/>
        <v>11199.240872458453</v>
      </c>
      <c r="G15" s="905">
        <f t="shared" si="1"/>
        <v>10342.92568946035</v>
      </c>
      <c r="H15" s="905">
        <f t="shared" si="1"/>
        <v>2824.0364038643283</v>
      </c>
      <c r="I15" s="905">
        <f t="shared" si="1"/>
        <v>0</v>
      </c>
      <c r="J15" s="905">
        <f t="shared" si="1"/>
        <v>115.50853289599425</v>
      </c>
      <c r="K15" s="905">
        <f t="shared" si="1"/>
        <v>0</v>
      </c>
      <c r="L15" s="905">
        <f t="shared" ca="1" si="1"/>
        <v>0</v>
      </c>
      <c r="M15" s="905">
        <f t="shared" si="1"/>
        <v>686.70862828827239</v>
      </c>
      <c r="N15" s="905">
        <f t="shared" ca="1" si="1"/>
        <v>4368.3066110381287</v>
      </c>
      <c r="O15" s="905">
        <f t="shared" si="1"/>
        <v>103.18</v>
      </c>
      <c r="P15" s="905">
        <f t="shared" si="1"/>
        <v>1468.1333333333332</v>
      </c>
      <c r="Q15" s="905">
        <f t="shared" ca="1" si="1"/>
        <v>117080.82781815737</v>
      </c>
    </row>
    <row r="17" spans="1:17">
      <c r="A17" s="451" t="s">
        <v>540</v>
      </c>
      <c r="B17" s="714">
        <f ca="1">huishoudens!B10</f>
        <v>0.20940032923618879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2872.9609667731438</v>
      </c>
      <c r="C22" s="441">
        <f t="shared" ref="C22:C32" ca="1" si="3">C4*$C$17</f>
        <v>0</v>
      </c>
      <c r="D22" s="441">
        <f t="shared" ref="D22:D32" si="4">D4*$D$17</f>
        <v>9597.0604994015375</v>
      </c>
      <c r="E22" s="441">
        <f t="shared" ref="E22:E32" si="5">E4*$E$17</f>
        <v>85.066509035628073</v>
      </c>
      <c r="F22" s="441">
        <f t="shared" ref="F22:F32" si="6">F4*$F$17</f>
        <v>2319.2249229886565</v>
      </c>
      <c r="G22" s="441">
        <f t="shared" ref="G22:G32" si="7">G4*$G$17</f>
        <v>0</v>
      </c>
      <c r="H22" s="441">
        <f t="shared" ref="H22:H32" si="8">H4*$H$17</f>
        <v>0</v>
      </c>
      <c r="I22" s="441">
        <f t="shared" ref="I22:I32" si="9">I4*$I$17</f>
        <v>0</v>
      </c>
      <c r="J22" s="441">
        <f t="shared" ref="J22:J32" si="10">J4*$J$17</f>
        <v>15.802418391263268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14890.115316590231</v>
      </c>
    </row>
    <row r="23" spans="1:17">
      <c r="A23" s="440" t="s">
        <v>149</v>
      </c>
      <c r="B23" s="441">
        <f t="shared" ca="1" si="2"/>
        <v>1568.4849237656915</v>
      </c>
      <c r="C23" s="441">
        <f t="shared" ca="1" si="3"/>
        <v>0</v>
      </c>
      <c r="D23" s="441">
        <f t="shared" ca="1" si="4"/>
        <v>2294.3661003690481</v>
      </c>
      <c r="E23" s="441">
        <f t="shared" si="5"/>
        <v>16.751650319184165</v>
      </c>
      <c r="F23" s="441">
        <f t="shared" ca="1" si="6"/>
        <v>360.30735556456608</v>
      </c>
      <c r="G23" s="441">
        <f t="shared" si="7"/>
        <v>0</v>
      </c>
      <c r="H23" s="441">
        <f t="shared" si="8"/>
        <v>0</v>
      </c>
      <c r="I23" s="441">
        <f t="shared" si="9"/>
        <v>0</v>
      </c>
      <c r="J23" s="441">
        <f t="shared" si="10"/>
        <v>3.8944928254279051E-3</v>
      </c>
      <c r="K23" s="441">
        <f t="shared" si="11"/>
        <v>0</v>
      </c>
      <c r="L23" s="441">
        <f t="shared" ca="1" si="12"/>
        <v>0</v>
      </c>
      <c r="M23" s="441">
        <f t="shared" si="13"/>
        <v>0</v>
      </c>
      <c r="N23" s="441">
        <f t="shared" ca="1" si="14"/>
        <v>0</v>
      </c>
      <c r="O23" s="441">
        <f t="shared" si="15"/>
        <v>0</v>
      </c>
      <c r="P23" s="442">
        <f t="shared" si="16"/>
        <v>0</v>
      </c>
      <c r="Q23" s="440">
        <f t="shared" ref="Q23:Q32" ca="1" si="17">SUM(B23:P23)</f>
        <v>4239.9139245113156</v>
      </c>
    </row>
    <row r="24" spans="1:17">
      <c r="A24" s="440" t="s">
        <v>187</v>
      </c>
      <c r="B24" s="441">
        <f t="shared" ca="1" si="2"/>
        <v>130.85971014825452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130.85971014825452</v>
      </c>
    </row>
    <row r="25" spans="1:17">
      <c r="A25" s="440" t="s">
        <v>105</v>
      </c>
      <c r="B25" s="441">
        <f t="shared" ca="1" si="2"/>
        <v>55.874959177493707</v>
      </c>
      <c r="C25" s="441">
        <f t="shared" ca="1" si="3"/>
        <v>0</v>
      </c>
      <c r="D25" s="441">
        <f t="shared" si="4"/>
        <v>11.481482673282919</v>
      </c>
      <c r="E25" s="441">
        <f t="shared" si="5"/>
        <v>1.9657324630081288</v>
      </c>
      <c r="F25" s="441">
        <f t="shared" si="6"/>
        <v>262.83465039705595</v>
      </c>
      <c r="G25" s="441">
        <f t="shared" si="7"/>
        <v>0</v>
      </c>
      <c r="H25" s="441">
        <f t="shared" si="8"/>
        <v>0</v>
      </c>
      <c r="I25" s="441">
        <f t="shared" si="9"/>
        <v>0</v>
      </c>
      <c r="J25" s="441">
        <f t="shared" si="10"/>
        <v>24.841727670974027</v>
      </c>
      <c r="K25" s="441">
        <f t="shared" si="11"/>
        <v>0</v>
      </c>
      <c r="L25" s="441">
        <f t="shared" si="12"/>
        <v>0</v>
      </c>
      <c r="M25" s="441">
        <f t="shared" si="13"/>
        <v>0</v>
      </c>
      <c r="N25" s="441">
        <f t="shared" si="14"/>
        <v>0</v>
      </c>
      <c r="O25" s="441">
        <f t="shared" si="15"/>
        <v>0</v>
      </c>
      <c r="P25" s="442">
        <f t="shared" si="16"/>
        <v>0</v>
      </c>
      <c r="Q25" s="440">
        <f t="shared" ca="1" si="17"/>
        <v>356.99855238181476</v>
      </c>
    </row>
    <row r="26" spans="1:17">
      <c r="A26" s="440" t="s">
        <v>596</v>
      </c>
      <c r="B26" s="441">
        <f t="shared" ca="1" si="2"/>
        <v>197.42353755067629</v>
      </c>
      <c r="C26" s="441">
        <f t="shared" ca="1" si="3"/>
        <v>0</v>
      </c>
      <c r="D26" s="441">
        <f t="shared" si="4"/>
        <v>309.33967472822491</v>
      </c>
      <c r="E26" s="441">
        <f t="shared" si="5"/>
        <v>2.8806915383085148</v>
      </c>
      <c r="F26" s="441">
        <f t="shared" si="6"/>
        <v>47.830383996128482</v>
      </c>
      <c r="G26" s="441">
        <f t="shared" si="7"/>
        <v>0</v>
      </c>
      <c r="H26" s="441">
        <f t="shared" si="8"/>
        <v>0</v>
      </c>
      <c r="I26" s="441">
        <f t="shared" si="9"/>
        <v>0</v>
      </c>
      <c r="J26" s="441">
        <f t="shared" si="10"/>
        <v>0.2419800901192396</v>
      </c>
      <c r="K26" s="441">
        <f t="shared" si="11"/>
        <v>0</v>
      </c>
      <c r="L26" s="441">
        <f t="shared" si="12"/>
        <v>0</v>
      </c>
      <c r="M26" s="441">
        <f t="shared" si="13"/>
        <v>0</v>
      </c>
      <c r="N26" s="441">
        <f t="shared" si="14"/>
        <v>0</v>
      </c>
      <c r="O26" s="441">
        <f t="shared" si="15"/>
        <v>0</v>
      </c>
      <c r="P26" s="442">
        <f t="shared" si="16"/>
        <v>0</v>
      </c>
      <c r="Q26" s="440">
        <f t="shared" ca="1" si="17"/>
        <v>557.71626790345738</v>
      </c>
    </row>
    <row r="27" spans="1:17" s="446" customFormat="1">
      <c r="A27" s="444" t="s">
        <v>545</v>
      </c>
      <c r="B27" s="708">
        <f t="shared" ca="1" si="2"/>
        <v>1.9067251922082162</v>
      </c>
      <c r="C27" s="445">
        <f t="shared" ca="1" si="3"/>
        <v>0</v>
      </c>
      <c r="D27" s="445">
        <f t="shared" si="4"/>
        <v>3.3130381695427515</v>
      </c>
      <c r="E27" s="445">
        <f t="shared" si="5"/>
        <v>6.3839902758705369</v>
      </c>
      <c r="F27" s="445">
        <f t="shared" si="6"/>
        <v>0</v>
      </c>
      <c r="G27" s="445">
        <f t="shared" si="7"/>
        <v>2531.2642245956581</v>
      </c>
      <c r="H27" s="445">
        <f t="shared" si="8"/>
        <v>703.1850645622178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3246.0530427954973</v>
      </c>
    </row>
    <row r="28" spans="1:17">
      <c r="A28" s="440" t="s">
        <v>535</v>
      </c>
      <c r="B28" s="441">
        <f t="shared" ca="1" si="2"/>
        <v>1.9226637997262155</v>
      </c>
      <c r="C28" s="441">
        <f t="shared" ca="1" si="3"/>
        <v>0</v>
      </c>
      <c r="D28" s="441">
        <f t="shared" si="4"/>
        <v>0</v>
      </c>
      <c r="E28" s="441">
        <f t="shared" si="5"/>
        <v>0</v>
      </c>
      <c r="F28" s="441">
        <f t="shared" si="6"/>
        <v>0</v>
      </c>
      <c r="G28" s="441">
        <f t="shared" si="7"/>
        <v>230.29693449025558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232.2195982899818</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86.747511236363934</v>
      </c>
      <c r="C32" s="441">
        <f t="shared" ca="1" si="3"/>
        <v>0</v>
      </c>
      <c r="D32" s="441">
        <f t="shared" si="4"/>
        <v>282.71144730043841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369.45895853680236</v>
      </c>
    </row>
    <row r="33" spans="1:17" s="450" customFormat="1">
      <c r="A33" s="957" t="s">
        <v>539</v>
      </c>
      <c r="B33" s="905">
        <f ca="1">SUM(B22:B32)</f>
        <v>4916.1809976435579</v>
      </c>
      <c r="C33" s="905">
        <f t="shared" ref="C33:Q33" ca="1" si="18">SUM(C22:C32)</f>
        <v>0</v>
      </c>
      <c r="D33" s="905">
        <f t="shared" ca="1" si="18"/>
        <v>12498.272242642075</v>
      </c>
      <c r="E33" s="905">
        <f t="shared" si="18"/>
        <v>113.0485736319994</v>
      </c>
      <c r="F33" s="905">
        <f t="shared" ca="1" si="18"/>
        <v>2990.1973129464072</v>
      </c>
      <c r="G33" s="905">
        <f t="shared" si="18"/>
        <v>2761.5611590859135</v>
      </c>
      <c r="H33" s="905">
        <f t="shared" si="18"/>
        <v>703.1850645622178</v>
      </c>
      <c r="I33" s="905">
        <f t="shared" si="18"/>
        <v>0</v>
      </c>
      <c r="J33" s="905">
        <f t="shared" si="18"/>
        <v>40.890020645181963</v>
      </c>
      <c r="K33" s="905">
        <f t="shared" si="18"/>
        <v>0</v>
      </c>
      <c r="L33" s="905">
        <f t="shared" ca="1" si="18"/>
        <v>0</v>
      </c>
      <c r="M33" s="905">
        <f t="shared" si="18"/>
        <v>0</v>
      </c>
      <c r="N33" s="905">
        <f t="shared" ca="1" si="18"/>
        <v>0</v>
      </c>
      <c r="O33" s="905">
        <f t="shared" si="18"/>
        <v>0</v>
      </c>
      <c r="P33" s="905">
        <f t="shared" si="18"/>
        <v>0</v>
      </c>
      <c r="Q33" s="905">
        <f t="shared" ca="1" si="18"/>
        <v>24023.335371157358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1144.9643736886376</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87.299999999999983</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102.70588235294116</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1232.2643736886375</v>
      </c>
      <c r="C10" s="978">
        <f>SUM(C4:C9)</f>
        <v>0</v>
      </c>
      <c r="D10" s="978">
        <f t="shared" ref="D10:H10" si="0">SUM(D8:D9)</f>
        <v>0</v>
      </c>
      <c r="E10" s="978">
        <f t="shared" si="0"/>
        <v>0</v>
      </c>
      <c r="F10" s="978">
        <f t="shared" si="0"/>
        <v>0</v>
      </c>
      <c r="G10" s="978">
        <f t="shared" si="0"/>
        <v>0</v>
      </c>
      <c r="H10" s="978">
        <f t="shared" si="0"/>
        <v>0</v>
      </c>
      <c r="I10" s="978">
        <f>SUM(I8:I9)</f>
        <v>0</v>
      </c>
      <c r="J10" s="978">
        <f>SUM(J8:J9)</f>
        <v>102.70588235294116</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0.20940032923618879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124.71428571428569</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146.72268907563023</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124.71428571428569</v>
      </c>
      <c r="C20" s="978">
        <f>SUM(C17:C19)</f>
        <v>0</v>
      </c>
      <c r="D20" s="978">
        <f t="shared" ref="D20:H20" si="2">SUM(D17:D19)</f>
        <v>0</v>
      </c>
      <c r="E20" s="978">
        <f t="shared" si="2"/>
        <v>0</v>
      </c>
      <c r="F20" s="978">
        <f t="shared" si="2"/>
        <v>0</v>
      </c>
      <c r="G20" s="978">
        <f t="shared" si="2"/>
        <v>0</v>
      </c>
      <c r="H20" s="978">
        <f t="shared" si="2"/>
        <v>0</v>
      </c>
      <c r="I20" s="978">
        <f>SUM(I17:I19)</f>
        <v>0</v>
      </c>
      <c r="J20" s="978">
        <f>SUM(J17:J19)</f>
        <v>146.72268907563023</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0.20940032923618879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2022-07-26T10:30:06Z</dcterms:modified>
</cp:coreProperties>
</file>