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F0EAB358-E967-4980-8FDB-075401A1F61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<sst xmlns="http://schemas.openxmlformats.org/spreadsheetml/2006/main" count="2406" uniqueCount="887">
  <si>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</si>
  <si>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</si>
  <si>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</si>
  <si>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</si>
  <si>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</si>
  <si>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</si>
  <si>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</si>
  <si>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</si>
  <si>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</si>
  <si>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</si>
  <si>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</si>
  <si>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</si>
  <si>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</si>
  <si>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</si>
  <si>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</si>
  <si>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</si>
  <si>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</si>
  <si>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</si>
  <si>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</si>
  <si>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</si>
  <si>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</si>
  <si>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</si>
  <si>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</si>
  <si>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</si>
  <si>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</si>
  <si>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</si>
  <si>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</si>
  <si>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</si>
  <si>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</si>
  <si>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</si>
  <si>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</si>
  <si>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</si>
  <si>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</si>
  <si>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</si>
  <si>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</si>
  <si>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</si>
  <si>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</si>
  <si>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</si>
  <si>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</si>
  <si>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</si>
  <si>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</si>
  <si>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</si>
  <si>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</si>
  <si>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</si>
  <si>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</si>
  <si>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</si>
  <si>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</si>
  <si>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</si>
  <si>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</si>
  <si>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</si>
  <si>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</si>
  <si>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</si>
  <si>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</si>
  <si>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</si>
  <si>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</si>
  <si>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</si>
  <si>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</si>
  <si>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</si>
  <si>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</si>
  <si>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</si>
  <si>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</si>
  <si>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</si>
  <si>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</si>
  <si>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</si>
  <si>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</si>
  <si>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</si>
  <si>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</si>
  <si>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</si>
  <si>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</si>
  <si>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</si>
  <si>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</si>
  <si>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</si>
  <si>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</si>
  <si>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</si>
  <si>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</si>
  <si>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</si>
  <si>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</si>
  <si>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</si>
  <si>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</si>
  <si>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</si>
  <si>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</si>
  <si>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</si>
  <si>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</si>
  <si>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</si>
  <si>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</si>
  <si>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</si>
  <si>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</si>
  <si>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</si>
  <si>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</si>
  <si>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</si>
  <si>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</si>
  <si>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</si>
  <si>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</si>
  <si>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</si>
  <si>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</si>
  <si>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</si>
  <si>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</si>
  <si>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</si>
  <si>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</si>
  <si>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</si>
  <si>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</si>
  <si>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</si>
  <si>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</si>
  <si>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</si>
  <si>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</si>
  <si>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</si>
  <si>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</si>
  <si>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</si>
  <si>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</si>
  <si>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</si>
  <si>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</si>
  <si>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</si>
  <si>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</si>
  <si>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</si>
  <si>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</si>
  <si>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</si>
  <si>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</si>
  <si>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</si>
  <si>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</si>
  <si>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</si>
  <si>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</si>
  <si>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</si>
  <si>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</si>
  <si>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</si>
  <si>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</si>
  <si>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</si>
  <si>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</si>
  <si>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</si>
  <si>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</si>
  <si>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</si>
  <si>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</si>
  <si>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</si>
  <si>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</si>
  <si>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</si>
  <si>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</si>
  <si>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</si>
  <si>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</si>
  <si>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</si>
  <si>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</si>
  <si>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</si>
  <si>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</si>
  <si>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</si>
  <si>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</si>
  <si>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</si>
  <si>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</si>
  <si>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</si>
  <si>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</si>
  <si>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</si>
  <si>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</si>
  <si>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</si>
  <si>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</si>
  <si>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</si>
  <si>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</si>
  <si>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</si>
  <si>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</si>
  <si>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</si>
  <si>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</si>
  <si>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</si>
  <si>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</si>
  <si>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</si>
  <si>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</si>
  <si>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</si>
  <si>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</si>
  <si>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</si>
  <si>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</si>
  <si>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</si>
  <si>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</si>
  <si>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</si>
  <si>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</si>
  <si>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</si>
  <si>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</si>
  <si>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</si>
  <si>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</si>
  <si>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</si>
  <si>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</si>
  <si>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</si>
  <si>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</si>
  <si>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</si>
  <si>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</si>
  <si>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</si>
  <si>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</si>
  <si>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</si>
  <si>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</si>
  <si>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</si>
  <si>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</si>
  <si>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</si>
  <si>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</si>
  <si>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</si>
  <si>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</si>
  <si>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</si>
  <si>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</si>
  <si>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</si>
  <si>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</si>
  <si>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</si>
  <si>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</si>
  <si>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</si>
  <si>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</si>
  <si>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</si>
  <si>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</si>
  <si>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</si>
  <si>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</si>
  <si>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</si>
  <si>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</si>
  <si>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</si>
  <si>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</si>
  <si>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</si>
  <si>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</si>
  <si>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</si>
  <si>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</si>
  <si>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</si>
  <si>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</si>
  <si>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</si>
  <si>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</si>
  <si>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</si>
  <si>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</si>
  <si>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</si>
  <si>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</si>
  <si>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</si>
  <si>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</si>
  <si>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</si>
  <si>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</si>
  <si>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</si>
  <si>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</si>
  <si>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</si>
  <si>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</si>
  <si>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</si>
  <si>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</si>
  <si>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</si>
  <si>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</si>
  <si>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</si>
  <si>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</si>
  <si>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</si>
  <si>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</si>
  <si>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</si>
  <si>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</si>
  <si>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</si>
  <si>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</si>
  <si>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</si>
  <si>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</si>
  <si>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</si>
  <si>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</si>
  <si>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</si>
  <si>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</si>
  <si>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</si>
  <si>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</si>
  <si>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</si>
  <si>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</si>
  <si>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</si>
  <si>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</si>
  <si>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</si>
  <si>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</si>
  <si>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</si>
  <si>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</si>
  <si>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</si>
  <si>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</si>
  <si>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</si>
  <si>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</si>
  <si>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</si>
  <si>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</si>
  <si>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</si>
  <si>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</si>
  <si>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</si>
  <si>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</si>
  <si>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</si>
  <si>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</si>
  <si>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</si>
  <si>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</si>
  <si>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</si>
  <si>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</si>
  <si>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</si>
  <si>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</si>
  <si>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</si>
  <si>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</si>
  <si>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</si>
  <si>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</si>
  <si>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</si>
  <si>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</si>
  <si>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</si>
  <si>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</si>
  <si>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</si>
  <si>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</si>
  <si>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</si>
  <si>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</si>
  <si>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</si>
  <si>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</si>
  <si>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</si>
  <si>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</si>
  <si>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</si>
  <si>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</si>
  <si>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</si>
  <si>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</si>
  <si>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</si>
  <si>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</si>
  <si>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</si>
  <si>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</si>
  <si>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</si>
  <si>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</si>
  <si>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</si>
  <si>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</si>
  <si>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</si>
  <si>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</si>
  <si>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</si>
  <si>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</si>
  <si>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</si>
  <si>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</si>
  <si>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</si>
  <si>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</si>
  <si>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</si>
  <si>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</si>
  <si>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</si>
  <si>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</si>
  <si>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</si>
  <si>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</si>
  <si>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</si>
  <si>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</si>
  <si>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</si>
  <si>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</si>
  <si>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</si>
  <si>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</si>
  <si>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</si>
  <si>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</si>
  <si>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</si>
  <si>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</si>
  <si>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</si>
  <si>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</si>
  <si>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</si>
  <si>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</si>
  <si>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</si>
  <si>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</si>
  <si>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</si>
  <si>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</si>
  <si>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</si>
  <si>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</si>
  <si>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</si>
  <si>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</si>
  <si>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</si>
  <si>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</si>
  <si>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</si>
  <si>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</si>
  <si>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</si>
  <si>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</si>
  <si>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</si>
  <si>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</si>
  <si>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</si>
  <si>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</si>
  <si>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</si>
  <si>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</si>
  <si>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</si>
  <si>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</si>
  <si>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</si>
  <si>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</si>
  <si>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</si>
  <si>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</si>
  <si>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</si>
  <si>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</si>
  <si>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</si>
  <si>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</si>
  <si>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</si>
  <si>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</si>
  <si>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</si>
  <si>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</si>
  <si>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</si>
  <si>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</si>
  <si>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</si>
  <si>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</si>
  <si>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</si>
  <si>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</si>
  <si>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</si>
  <si>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</si>
  <si>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</si>
  <si>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</si>
  <si>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</si>
  <si>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</si>
  <si>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</si>
  <si>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</si>
  <si>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</si>
  <si>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</si>
  <si>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</si>
  <si>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</si>
  <si>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</si>
  <si>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</si>
  <si>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</si>
  <si>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</si>
  <si>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</si>
  <si>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</si>
  <si>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</si>
  <si>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</si>
  <si>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</si>
  <si>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</si>
  <si>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</si>
  <si>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</si>
  <si>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</si>
  <si>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</si>
  <si>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</si>
  <si>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</si>
  <si>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</si>
  <si>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</si>
  <si>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</si>
  <si>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</si>
  <si>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</si>
  <si>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</si>
  <si>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</si>
  <si>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</si>
  <si>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</si>
  <si>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</si>
  <si>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</si>
  <si>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</si>
  <si>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</si>
  <si>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</si>
  <si>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</si>
  <si>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</si>
  <si>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</si>
  <si>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</si>
  <si>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</si>
  <si>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</si>
  <si>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</si>
  <si>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</si>
  <si>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</si>
  <si>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</si>
  <si>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</si>
  <si>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</si>
  <si>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</si>
  <si>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</si>
  <si>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</si>
  <si>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</si>
  <si>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</si>
  <si>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</si>
  <si>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</si>
  <si>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</si>
  <si>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</si>
  <si>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</si>
  <si>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</si>
  <si>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</si>
  <si>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</si>
  <si>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</si>
  <si>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</si>
  <si>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</si>
  <si>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</si>
  <si>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</si>
  <si>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</si>
  <si>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</si>
  <si>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</si>
  <si>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</si>
  <si>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</si>
  <si>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</si>
  <si>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</si>
  <si>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</si>
  <si>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</si>
  <si>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</si>
  <si>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</si>
  <si>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</si>
  <si>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</si>
  <si>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</si>
  <si>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</si>
  <si>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</si>
  <si>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</si>
  <si>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</si>
  <si>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</si>
  <si>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</si>
  <si>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</si>
  <si>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</si>
  <si>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</si>
  <si>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</si>
  <si>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</si>
  <si>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</si>
  <si>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</si>
  <si>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</si>
  <si>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</si>
  <si>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</si>
  <si>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</si>
  <si>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</si>
  <si>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</si>
  <si>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</si>
  <si>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</si>
  <si>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</si>
  <si>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</si>
  <si>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</si>
  <si>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</si>
  <si>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</si>
  <si>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</si>
  <si>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</si>
  <si>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</si>
  <si>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</si>
  <si>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</si>
  <si>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</si>
  <si>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</si>
  <si>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</si>
  <si>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</si>
  <si>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</si>
  <si>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</si>
  <si>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</si>
  <si>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</si>
  <si>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</si>
  <si>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</si>
  <si>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</si>
  <si>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</si>
  <si>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</si>
  <si>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</si>
  <si>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</si>
  <si>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</si>
  <si>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</si>
  <si>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</si>
  <si>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</si>
  <si>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</si>
  <si>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</si>
  <si>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</si>
  <si>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</si>
  <si>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</si>
  <si>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</si>
  <si>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</si>
  <si>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</si>
  <si>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</si>
  <si>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</si>
  <si>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</si>
  <si>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</si>
  <si>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</si>
  <si>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</si>
  <si>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</si>
  <si>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</si>
  <si>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</si>
  <si>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</si>
  <si>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</si>
  <si>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</si>
  <si>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</si>
  <si>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</si>
  <si>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</si>
  <si>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</si>
  <si>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</si>
  <si>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</si>
  <si>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</si>
  <si>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</si>
  <si>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</si>
  <si>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</si>
  <si>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</si>
  <si>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</si>
  <si>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</si>
  <si>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</si>
  <si>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</si>
  <si>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</si>
  <si>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</si>
  <si>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</si>
  <si>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</si>
  <si>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</si>
  <si>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</si>
  <si>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</si>
  <si>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</si>
  <si>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</si>
  <si>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</si>
  <si>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</si>
  <si>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</si>
  <si>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</si>
  <si>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</si>
  <si>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</si>
  <si>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</si>
  <si>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</si>
  <si>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</si>
  <si>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</si>
  <si>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</si>
  <si>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</si>
  <si>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</si>
  <si>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</si>
  <si>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</si>
  <si>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</si>
  <si>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</si>
  <si>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</si>
  <si>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</si>
  <si>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</si>
  <si>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</si>
  <si>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</si>
  <si>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</si>
  <si>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</si>
  <si>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</si>
  <si>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</si>
  <si>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</si>
  <si>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</si>
  <si>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</si>
  <si>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</si>
  <si>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</si>
  <si>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</si>
  <si>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</si>
  <si>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</si>
  <si>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</si>
  <si>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</si>
  <si>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</si>
  <si>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</si>
  <si>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</si>
  <si>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</si>
  <si>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</si>
  <si>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</si>
  <si>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</si>
  <si>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</si>
  <si>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</si>
  <si>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</si>
  <si>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</si>
  <si>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</si>
  <si>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</si>
  <si>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</si>
  <si>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</si>
  <si>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</si>
  <si>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</si>
  <si>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</si>
  <si>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</si>
  <si>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</si>
  <si>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</si>
  <si>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</si>
  <si>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</si>
  <si>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</si>
  <si>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</si>
  <si>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</si>
  <si>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</si>
  <si>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</si>
  <si>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</si>
  <si>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</si>
  <si>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</si>
  <si>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</si>
  <si>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</si>
  <si>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</si>
  <si>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</si>
  <si>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</si>
  <si>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</si>
  <si>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</si>
  <si>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</si>
  <si>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</si>
  <si>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</si>
  <si>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</si>
  <si>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</si>
  <si>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</si>
  <si>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</si>
  <si>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</si>
  <si>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</si>
  <si>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</si>
  <si>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</si>
  <si>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</si>
  <si>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</si>
  <si>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</si>
  <si>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</si>
  <si>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</si>
  <si>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</si>
  <si>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</si>
  <si>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</si>
  <si>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</si>
  <si>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</si>
  <si>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</si>
  <si>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</si>
  <si>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</si>
  <si>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</si>
  <si>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</si>
  <si>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</si>
  <si>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</si>
  <si>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</si>
  <si>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</si>
  <si>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</si>
  <si>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</si>
  <si>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</si>
  <si>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</si>
  <si>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</si>
  <si>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</si>
  <si>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</si>
  <si>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</si>
  <si>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</si>
  <si>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</si>
  <si>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</si>
  <si>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</si>
  <si>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</si>
  <si>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</si>
  <si>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</si>
  <si>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</si>
  <si>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</si>
  <si>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</si>
  <si>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</si>
  <si>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</si>
  <si>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</si>
  <si>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</si>
  <si>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</si>
  <si>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</si>
  <si>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</si>
  <si>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</si>
  <si>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</si>
  <si>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</si>
  <si>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</si>
  <si>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</si>
  <si>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</si>
  <si>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</si>
  <si>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</si>
  <si>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</si>
  <si>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</si>
  <si>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</si>
  <si>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</si>
  <si>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</si>
  <si>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</si>
  <si>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</si>
  <si>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</si>
  <si>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</si>
  <si>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</si>
  <si>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</si>
  <si>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</si>
  <si>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</si>
  <si>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</si>
  <si>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</si>
  <si>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</si>
  <si>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</si>
  <si>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</si>
  <si>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</si>
  <si>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</si>
  <si>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</si>
  <si>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</si>
  <si>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</si>
  <si>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</si>
  <si>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</si>
  <si>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</si>
  <si>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</si>
  <si>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</si>
  <si>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</si>
  <si>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</si>
  <si>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</si>
  <si>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</si>
  <si>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</si>
  <si>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</si>
  <si>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</si>
  <si>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</si>
  <si>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</si>
  <si>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</si>
  <si>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</si>
  <si>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</si>
  <si>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</si>
  <si>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</si>
  <si>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</si>
  <si>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</si>
  <si>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</si>
  <si>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</si>
  <si>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</si>
  <si>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</si>
  <si>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</si>
  <si>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</si>
  <si>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</si>
  <si>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</si>
  <si>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</si>
  <si>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</si>
  <si>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</si>
  <si>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</si>
  <si>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</si>
  <si>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</si>
  <si>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</si>
  <si>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</si>
  <si>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</si>
  <si>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</si>
  <si>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</si>
  <si>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</si>
  <si>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</si>
  <si>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</si>
  <si>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</si>
  <si>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</si>
  <si>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</si>
  <si>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</si>
  <si>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</si>
  <si>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</si>
  <si>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</si>
  <si>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</si>
  <si>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</si>
  <si>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</si>
  <si>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</si>
  <si>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</si>
  <si>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</si>
  <si>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</si>
  <si>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</si>
  <si>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</si>
  <si>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</si>
  <si>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</si>
  <si>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</si>
  <si>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</si>
  <si>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</si>
  <si>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</si>
  <si>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</si>
  <si>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</si>
  <si>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</si>
  <si>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</si>
  <si>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</si>
  <si>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</si>
  <si>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</si>
  <si>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</si>
  <si>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</si>
  <si>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</si>
  <si>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</si>
  <si>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</si>
  <si>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</si>
  <si>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</si>
  <si>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</si>
  <si>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</si>
  <si>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</si>
  <si>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</si>
  <si>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</si>
  <si>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</si>
  <si>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</si>
  <si>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</si>
  <si>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</si>
  <si>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</si>
  <si>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</si>
  <si>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</si>
  <si>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</si>
  <si>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</si>
  <si>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</si>
  <si>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</si>
  <si>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</si>
  <si>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</si>
  <si>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</si>
  <si>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</si>
  <si>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</si>
  <si>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</si>
  <si>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</si>
  <si>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</si>
  <si>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</si>
  <si>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</si>
  <si>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</si>
  <si>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</si>
  <si>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</si>
  <si>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</si>
  <si>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</si>
  <si>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</si>
  <si>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</si>
  <si>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</si>
  <si>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</si>
  <si>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</si>
  <si>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</si>
  <si>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</si>
  <si>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</si>
  <si>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</si>
  <si>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</si>
  <si>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</si>
  <si>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</si>
  <si>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</si>
  <si>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</si>
  <si>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</si>
  <si>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</si>
  <si>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</si>
  <si>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</si>
  <si>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</si>
  <si>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</si>
  <si>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</si>
  <si>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</si>
  <si>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</si>
  <si>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</si>
  <si>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</si>
  <si>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</si>
  <si>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</si>
  <si>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</si>
  <si>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</si>
  <si>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</si>
  <si>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</si>
  <si>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</si>
  <si>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</si>
  <si>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</si>
  <si>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</si>
  <si>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</si>
  <si>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</si>
  <si>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</si>
  <si>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</si>
  <si>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</si>
  <si>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</si>
  <si>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</si>
  <si>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</si>
  <si>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</si>
  <si>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</si>
  <si>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</si>
  <si>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</si>
  <si>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</si>
  <si>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</si>
  <si>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</si>
  <si>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</si>
  <si>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</si>
  <si>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</si>
  <si>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</si>
  <si>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</si>
  <si>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</si>
  <si>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</si>
  <si>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</si>
  <si>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</si>
  <si>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</si>
  <si>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</si>
  <si>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</si>
  <si>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</si>
  <si>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</si>
  <si>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</si>
  <si>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71004</t>
  </si>
  <si>
    <t>BERINGEN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</si>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</sst>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39B8571D-A1D3-4CD5-AE8A-3AE51F767AD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350093.45083858038</c:v>
                </c:pt>
                <c:pt idx="1">
                  <c:v>98170.190891496444</c:v>
                </c:pt>
                <c:pt idx="2">
                  <c:v>2021.1</c:v>
                </c:pt>
                <c:pt idx="3">
                  <c:v>3503.3498135958966</c:v>
                </c:pt>
                <c:pt idx="4">
                  <c:v>93439.599511741486</c:v>
                </c:pt>
                <c:pt idx="5">
                  <c:v>264121.69817424566</c:v>
                </c:pt>
                <c:pt idx="6">
                  <c:v>3526.1169471231578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350093.45083858038</c:v>
                </c:pt>
                <c:pt idx="1">
                  <c:v>98170.190891496444</c:v>
                </c:pt>
                <c:pt idx="2">
                  <c:v>2021.1</c:v>
                </c:pt>
                <c:pt idx="3">
                  <c:v>3503.3498135958966</c:v>
                </c:pt>
                <c:pt idx="4">
                  <c:v>93439.599511741486</c:v>
                </c:pt>
                <c:pt idx="5">
                  <c:v>264121.69817424566</c:v>
                </c:pt>
                <c:pt idx="6">
                  <c:v>3526.1169471231578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70532.363284502877</c:v>
                </c:pt>
                <c:pt idx="2">
                  <c:v>17746.948978042958</c:v>
                </c:pt>
                <c:pt idx="3">
                  <c:v>315.50783909614927</c:v>
                </c:pt>
                <c:pt idx="4">
                  <c:v>851.69233852596369</c:v>
                </c:pt>
                <c:pt idx="5">
                  <c:v>16133.117445713895</c:v>
                </c:pt>
                <c:pt idx="6">
                  <c:v>67592.10948664078</c:v>
                </c:pt>
                <c:pt idx="7">
                  <c:v>911.01274415755506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70532.363284502877</c:v>
                </c:pt>
                <c:pt idx="2">
                  <c:v>17746.948978042958</c:v>
                </c:pt>
                <c:pt idx="3">
                  <c:v>315.50783909614927</c:v>
                </c:pt>
                <c:pt idx="4">
                  <c:v>851.69233852596369</c:v>
                </c:pt>
                <c:pt idx="5">
                  <c:v>16133.117445713895</c:v>
                </c:pt>
                <c:pt idx="6">
                  <c:v>67592.10948664078</c:v>
                </c:pt>
                <c:pt idx="7">
                  <c:v>911.01274415755506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71004</v>
      </c>
      <c r="B6" s="380"/>
      <c r="C6" s="381"/>
    </row>
    <row r="7" spans="1:7" s="378" customFormat="1" ht="15.75" customHeight="1">
      <c r="A7" s="382" t="str">
        <f>txtMunicipality</f>
        <v>BERINGEN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0.15610699079518545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0.15610699079518545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17431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1908.02</v>
      </c>
      <c r="C14" s="322"/>
      <c r="D14" s="322"/>
      <c r="E14" s="322"/>
      <c r="F14" s="322"/>
    </row>
    <row r="15" spans="1:6">
      <c r="A15" s="1248" t="s">
        <v>177</v>
      </c>
      <c r="B15" s="1249">
        <v>3</v>
      </c>
      <c r="C15" s="322"/>
      <c r="D15" s="322"/>
      <c r="E15" s="322"/>
      <c r="F15" s="322"/>
    </row>
    <row r="16" spans="1:6">
      <c r="A16" s="1248" t="s">
        <v>6</v>
      </c>
      <c r="B16" s="1249">
        <v>122</v>
      </c>
      <c r="C16" s="322"/>
      <c r="D16" s="322"/>
      <c r="E16" s="322"/>
      <c r="F16" s="322"/>
    </row>
    <row r="17" spans="1:6">
      <c r="A17" s="1248" t="s">
        <v>7</v>
      </c>
      <c r="B17" s="1249">
        <v>164</v>
      </c>
      <c r="C17" s="322"/>
      <c r="D17" s="322"/>
      <c r="E17" s="322"/>
      <c r="F17" s="322"/>
    </row>
    <row r="18" spans="1:6">
      <c r="A18" s="1248" t="s">
        <v>8</v>
      </c>
      <c r="B18" s="1249">
        <v>234</v>
      </c>
      <c r="C18" s="322"/>
      <c r="D18" s="322"/>
      <c r="E18" s="322"/>
      <c r="F18" s="322"/>
    </row>
    <row r="19" spans="1:6">
      <c r="A19" s="1248" t="s">
        <v>9</v>
      </c>
      <c r="B19" s="1249">
        <v>200</v>
      </c>
      <c r="C19" s="322"/>
      <c r="D19" s="322"/>
      <c r="E19" s="322"/>
      <c r="F19" s="322"/>
    </row>
    <row r="20" spans="1:6">
      <c r="A20" s="1248" t="s">
        <v>10</v>
      </c>
      <c r="B20" s="1249">
        <v>135</v>
      </c>
      <c r="C20" s="322"/>
      <c r="D20" s="322"/>
      <c r="E20" s="322"/>
      <c r="F20" s="322"/>
    </row>
    <row r="21" spans="1:6">
      <c r="A21" s="1248" t="s">
        <v>11</v>
      </c>
      <c r="B21" s="1249">
        <v>127</v>
      </c>
      <c r="C21" s="322"/>
      <c r="D21" s="322"/>
      <c r="E21" s="322"/>
      <c r="F21" s="322"/>
    </row>
    <row r="22" spans="1:6">
      <c r="A22" s="1248" t="s">
        <v>12</v>
      </c>
      <c r="B22" s="1249">
        <v>2520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755</v>
      </c>
      <c r="C26" s="322"/>
      <c r="D26" s="322"/>
      <c r="E26" s="322"/>
      <c r="F26" s="322"/>
    </row>
    <row r="27" spans="1:6">
      <c r="A27" s="1248" t="s">
        <v>17</v>
      </c>
      <c r="B27" s="1249">
        <v>21</v>
      </c>
      <c r="C27" s="322"/>
      <c r="D27" s="322"/>
      <c r="E27" s="322"/>
      <c r="F27" s="322"/>
    </row>
    <row r="28" spans="1:6">
      <c r="A28" s="1248" t="s">
        <v>18</v>
      </c>
      <c r="B28" s="1250">
        <v>10960</v>
      </c>
      <c r="C28" s="322"/>
      <c r="D28" s="322"/>
      <c r="E28" s="322"/>
      <c r="F28" s="322"/>
    </row>
    <row r="29" spans="1:6">
      <c r="A29" s="1248" t="s">
        <v>884</v>
      </c>
      <c r="B29" s="1250">
        <v>188</v>
      </c>
      <c r="C29" s="322"/>
      <c r="D29" s="322"/>
      <c r="E29" s="322"/>
      <c r="F29" s="322"/>
    </row>
    <row r="30" spans="1:6">
      <c r="A30" s="1243" t="s">
        <v>885</v>
      </c>
      <c r="B30" s="1251">
        <v>38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18</v>
      </c>
      <c r="F36" s="1249">
        <v>76263</v>
      </c>
    </row>
    <row r="37" spans="1:6">
      <c r="A37" s="1248" t="s">
        <v>24</v>
      </c>
      <c r="B37" s="1248" t="s">
        <v>27</v>
      </c>
      <c r="C37" s="1249">
        <v>0</v>
      </c>
      <c r="D37" s="1249">
        <v>0</v>
      </c>
      <c r="E37" s="1249">
        <v>0</v>
      </c>
      <c r="F37" s="1249">
        <v>0</v>
      </c>
    </row>
    <row r="38" spans="1:6">
      <c r="A38" s="1248" t="s">
        <v>24</v>
      </c>
      <c r="B38" s="1248" t="s">
        <v>28</v>
      </c>
      <c r="C38" s="1249">
        <v>3</v>
      </c>
      <c r="D38" s="1249">
        <v>87988</v>
      </c>
      <c r="E38" s="1249">
        <v>0</v>
      </c>
      <c r="F38" s="1249">
        <v>20853</v>
      </c>
    </row>
    <row r="39" spans="1:6">
      <c r="A39" s="1248" t="s">
        <v>29</v>
      </c>
      <c r="B39" s="1248" t="s">
        <v>30</v>
      </c>
      <c r="C39" s="1249">
        <v>9141</v>
      </c>
      <c r="D39" s="1249">
        <v>134191455</v>
      </c>
      <c r="E39" s="1249">
        <v>17639</v>
      </c>
      <c r="F39" s="1249">
        <v>60086648</v>
      </c>
    </row>
    <row r="40" spans="1:6">
      <c r="A40" s="1248" t="s">
        <v>29</v>
      </c>
      <c r="B40" s="1248" t="s">
        <v>28</v>
      </c>
      <c r="C40" s="1249">
        <v>0</v>
      </c>
      <c r="D40" s="1249">
        <v>0</v>
      </c>
      <c r="E40" s="1249">
        <v>0</v>
      </c>
      <c r="F40" s="1249">
        <v>0</v>
      </c>
    </row>
    <row r="41" spans="1:6">
      <c r="A41" s="1248" t="s">
        <v>31</v>
      </c>
      <c r="B41" s="1248" t="s">
        <v>32</v>
      </c>
      <c r="C41" s="1249">
        <v>165</v>
      </c>
      <c r="D41" s="1249">
        <v>5196105</v>
      </c>
      <c r="E41" s="1249">
        <v>297</v>
      </c>
      <c r="F41" s="1249">
        <v>3861986</v>
      </c>
    </row>
    <row r="42" spans="1:6">
      <c r="A42" s="1248" t="s">
        <v>31</v>
      </c>
      <c r="B42" s="1248" t="s">
        <v>33</v>
      </c>
      <c r="C42" s="1249">
        <v>4</v>
      </c>
      <c r="D42" s="1249">
        <v>922809</v>
      </c>
      <c r="E42" s="1249">
        <v>6</v>
      </c>
      <c r="F42" s="1249">
        <v>5107138</v>
      </c>
    </row>
    <row r="43" spans="1:6">
      <c r="A43" s="1248" t="s">
        <v>31</v>
      </c>
      <c r="B43" s="1248" t="s">
        <v>34</v>
      </c>
      <c r="C43" s="1249">
        <v>0</v>
      </c>
      <c r="D43" s="1249">
        <v>0</v>
      </c>
      <c r="E43" s="1249">
        <v>0</v>
      </c>
      <c r="F43" s="1249">
        <v>0</v>
      </c>
    </row>
    <row r="44" spans="1:6">
      <c r="A44" s="1248" t="s">
        <v>31</v>
      </c>
      <c r="B44" s="1248" t="s">
        <v>35</v>
      </c>
      <c r="C44" s="1249">
        <v>23</v>
      </c>
      <c r="D44" s="1249">
        <v>10769229</v>
      </c>
      <c r="E44" s="1249">
        <v>43</v>
      </c>
      <c r="F44" s="1249">
        <v>4011983</v>
      </c>
    </row>
    <row r="45" spans="1:6">
      <c r="A45" s="1248" t="s">
        <v>31</v>
      </c>
      <c r="B45" s="1248" t="s">
        <v>36</v>
      </c>
      <c r="C45" s="1249">
        <v>0</v>
      </c>
      <c r="D45" s="1249">
        <v>0</v>
      </c>
      <c r="E45" s="1249">
        <v>8</v>
      </c>
      <c r="F45" s="1249">
        <v>761002</v>
      </c>
    </row>
    <row r="46" spans="1:6">
      <c r="A46" s="1248" t="s">
        <v>31</v>
      </c>
      <c r="B46" s="1248" t="s">
        <v>37</v>
      </c>
      <c r="C46" s="1249">
        <v>0</v>
      </c>
      <c r="D46" s="1249">
        <v>0</v>
      </c>
      <c r="E46" s="1249">
        <v>0</v>
      </c>
      <c r="F46" s="1249">
        <v>0</v>
      </c>
    </row>
    <row r="47" spans="1:6">
      <c r="A47" s="1248" t="s">
        <v>31</v>
      </c>
      <c r="B47" s="1248" t="s">
        <v>38</v>
      </c>
      <c r="C47" s="1249">
        <v>9</v>
      </c>
      <c r="D47" s="1249">
        <v>13883053</v>
      </c>
      <c r="E47" s="1249">
        <v>14</v>
      </c>
      <c r="F47" s="1249">
        <v>17776263</v>
      </c>
    </row>
    <row r="48" spans="1:6">
      <c r="A48" s="1248" t="s">
        <v>31</v>
      </c>
      <c r="B48" s="1248" t="s">
        <v>28</v>
      </c>
      <c r="C48" s="1249">
        <v>3</v>
      </c>
      <c r="D48" s="1249">
        <v>144966</v>
      </c>
      <c r="E48" s="1249">
        <v>0</v>
      </c>
      <c r="F48" s="1249">
        <v>13974</v>
      </c>
    </row>
    <row r="49" spans="1:6">
      <c r="A49" s="1248" t="s">
        <v>31</v>
      </c>
      <c r="B49" s="1248" t="s">
        <v>39</v>
      </c>
      <c r="C49" s="1249">
        <v>3</v>
      </c>
      <c r="D49" s="1249">
        <v>1864336</v>
      </c>
      <c r="E49" s="1249">
        <v>7</v>
      </c>
      <c r="F49" s="1249">
        <v>250848</v>
      </c>
    </row>
    <row r="50" spans="1:6">
      <c r="A50" s="1248" t="s">
        <v>31</v>
      </c>
      <c r="B50" s="1248" t="s">
        <v>40</v>
      </c>
      <c r="C50" s="1249">
        <v>9</v>
      </c>
      <c r="D50" s="1249">
        <v>6375294</v>
      </c>
      <c r="E50" s="1249">
        <v>26</v>
      </c>
      <c r="F50" s="1249">
        <v>8150247</v>
      </c>
    </row>
    <row r="51" spans="1:6">
      <c r="A51" s="1248" t="s">
        <v>41</v>
      </c>
      <c r="B51" s="1248" t="s">
        <v>42</v>
      </c>
      <c r="C51" s="1249">
        <v>12</v>
      </c>
      <c r="D51" s="1249">
        <v>445781</v>
      </c>
      <c r="E51" s="1249">
        <v>49</v>
      </c>
      <c r="F51" s="1249">
        <v>632397</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141</v>
      </c>
      <c r="F54" s="1249">
        <v>2021100</v>
      </c>
    </row>
    <row r="55" spans="1:6">
      <c r="A55" s="1248" t="s">
        <v>45</v>
      </c>
      <c r="B55" s="1248" t="s">
        <v>28</v>
      </c>
      <c r="C55" s="1249">
        <v>0</v>
      </c>
      <c r="D55" s="1249">
        <v>0</v>
      </c>
      <c r="E55" s="1249">
        <v>0</v>
      </c>
      <c r="F55" s="1249">
        <v>0</v>
      </c>
    </row>
    <row r="56" spans="1:6">
      <c r="A56" s="1248" t="s">
        <v>47</v>
      </c>
      <c r="B56" s="1248" t="s">
        <v>28</v>
      </c>
      <c r="C56" s="1249">
        <v>111</v>
      </c>
      <c r="D56" s="1249">
        <v>1781049</v>
      </c>
      <c r="E56" s="1249">
        <v>305</v>
      </c>
      <c r="F56" s="1249">
        <v>1314220</v>
      </c>
    </row>
    <row r="57" spans="1:6">
      <c r="A57" s="1248" t="s">
        <v>48</v>
      </c>
      <c r="B57" s="1248" t="s">
        <v>49</v>
      </c>
      <c r="C57" s="1249">
        <v>108</v>
      </c>
      <c r="D57" s="1249">
        <v>4535730</v>
      </c>
      <c r="E57" s="1249">
        <v>241</v>
      </c>
      <c r="F57" s="1249">
        <v>6628430</v>
      </c>
    </row>
    <row r="58" spans="1:6">
      <c r="A58" s="1248" t="s">
        <v>48</v>
      </c>
      <c r="B58" s="1248" t="s">
        <v>50</v>
      </c>
      <c r="C58" s="1249">
        <v>61</v>
      </c>
      <c r="D58" s="1249">
        <v>3637882</v>
      </c>
      <c r="E58" s="1249">
        <v>121</v>
      </c>
      <c r="F58" s="1249">
        <v>3329536</v>
      </c>
    </row>
    <row r="59" spans="1:6">
      <c r="A59" s="1248" t="s">
        <v>48</v>
      </c>
      <c r="B59" s="1248" t="s">
        <v>51</v>
      </c>
      <c r="C59" s="1249">
        <v>218</v>
      </c>
      <c r="D59" s="1249">
        <v>9690789</v>
      </c>
      <c r="E59" s="1249">
        <v>427</v>
      </c>
      <c r="F59" s="1249">
        <v>17306731</v>
      </c>
    </row>
    <row r="60" spans="1:6">
      <c r="A60" s="1248" t="s">
        <v>48</v>
      </c>
      <c r="B60" s="1248" t="s">
        <v>52</v>
      </c>
      <c r="C60" s="1249">
        <v>84</v>
      </c>
      <c r="D60" s="1249">
        <v>4261174</v>
      </c>
      <c r="E60" s="1249">
        <v>132</v>
      </c>
      <c r="F60" s="1249">
        <v>4911273</v>
      </c>
    </row>
    <row r="61" spans="1:6">
      <c r="A61" s="1248" t="s">
        <v>48</v>
      </c>
      <c r="B61" s="1248" t="s">
        <v>53</v>
      </c>
      <c r="C61" s="1249">
        <v>216</v>
      </c>
      <c r="D61" s="1249">
        <v>15253884</v>
      </c>
      <c r="E61" s="1249">
        <v>653</v>
      </c>
      <c r="F61" s="1249">
        <v>14441003</v>
      </c>
    </row>
    <row r="62" spans="1:6">
      <c r="A62" s="1248" t="s">
        <v>48</v>
      </c>
      <c r="B62" s="1248" t="s">
        <v>54</v>
      </c>
      <c r="C62" s="1249">
        <v>26</v>
      </c>
      <c r="D62" s="1249">
        <v>2709670</v>
      </c>
      <c r="E62" s="1249">
        <v>45</v>
      </c>
      <c r="F62" s="1249">
        <v>1233947</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339577</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5</v>
      </c>
      <c r="D68" s="1251">
        <v>218921</v>
      </c>
      <c r="E68" s="1251">
        <v>12</v>
      </c>
      <c r="F68" s="1251">
        <v>207176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91363598</v>
      </c>
      <c r="E73" s="439"/>
      <c r="F73" s="322"/>
    </row>
    <row r="74" spans="1:6">
      <c r="A74" s="1248" t="s">
        <v>63</v>
      </c>
      <c r="B74" s="1248" t="s">
        <v>626</v>
      </c>
      <c r="C74" s="1261" t="s">
        <v>628</v>
      </c>
      <c r="D74" s="1249">
        <v>4370405.9329351671</v>
      </c>
      <c r="E74" s="439"/>
      <c r="F74" s="322"/>
    </row>
    <row r="75" spans="1:6">
      <c r="A75" s="1248" t="s">
        <v>64</v>
      </c>
      <c r="B75" s="1248" t="s">
        <v>625</v>
      </c>
      <c r="C75" s="1261" t="s">
        <v>629</v>
      </c>
      <c r="D75" s="1249">
        <v>83627402</v>
      </c>
      <c r="E75" s="439"/>
      <c r="F75" s="322"/>
    </row>
    <row r="76" spans="1:6">
      <c r="A76" s="1248" t="s">
        <v>64</v>
      </c>
      <c r="B76" s="1248" t="s">
        <v>626</v>
      </c>
      <c r="C76" s="1261" t="s">
        <v>630</v>
      </c>
      <c r="D76" s="1249">
        <v>2169871.9329351671</v>
      </c>
      <c r="E76" s="439"/>
      <c r="F76" s="322"/>
    </row>
    <row r="77" spans="1:6">
      <c r="A77" s="1248" t="s">
        <v>65</v>
      </c>
      <c r="B77" s="1248" t="s">
        <v>625</v>
      </c>
      <c r="C77" s="1261" t="s">
        <v>631</v>
      </c>
      <c r="D77" s="1249">
        <v>94150356</v>
      </c>
      <c r="E77" s="439"/>
      <c r="F77" s="322"/>
    </row>
    <row r="78" spans="1:6">
      <c r="A78" s="1243" t="s">
        <v>65</v>
      </c>
      <c r="B78" s="1243" t="s">
        <v>626</v>
      </c>
      <c r="C78" s="1243" t="s">
        <v>632</v>
      </c>
      <c r="D78" s="1251">
        <v>18286599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953692.13412966602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29632.701756375016</v>
      </c>
      <c r="C90" s="322"/>
      <c r="D90" s="322"/>
      <c r="E90" s="322"/>
      <c r="F90" s="322"/>
    </row>
    <row r="91" spans="1:6">
      <c r="A91" s="1248" t="s">
        <v>67</v>
      </c>
      <c r="B91" s="1249">
        <v>11797.854046091214</v>
      </c>
      <c r="C91" s="322"/>
      <c r="D91" s="322"/>
      <c r="E91" s="322"/>
      <c r="F91" s="322"/>
    </row>
    <row r="92" spans="1:6">
      <c r="A92" s="1243" t="s">
        <v>68</v>
      </c>
      <c r="B92" s="1244">
        <v>6645.4563653564983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2269</v>
      </c>
      <c r="C97" s="322"/>
      <c r="D97" s="322"/>
      <c r="E97" s="322"/>
      <c r="F97" s="322"/>
    </row>
    <row r="98" spans="1:6">
      <c r="A98" s="1248" t="s">
        <v>71</v>
      </c>
      <c r="B98" s="1249">
        <v>9</v>
      </c>
      <c r="C98" s="322"/>
      <c r="D98" s="322"/>
      <c r="E98" s="322"/>
      <c r="F98" s="322"/>
    </row>
    <row r="99" spans="1:6">
      <c r="A99" s="1248" t="s">
        <v>72</v>
      </c>
      <c r="B99" s="1249">
        <v>57</v>
      </c>
      <c r="C99" s="322"/>
      <c r="D99" s="322"/>
      <c r="E99" s="322"/>
      <c r="F99" s="322"/>
    </row>
    <row r="100" spans="1:6">
      <c r="A100" s="1248" t="s">
        <v>73</v>
      </c>
      <c r="B100" s="1249">
        <v>465</v>
      </c>
      <c r="C100" s="322"/>
      <c r="D100" s="322"/>
      <c r="E100" s="322"/>
      <c r="F100" s="322"/>
    </row>
    <row r="101" spans="1:6">
      <c r="A101" s="1248" t="s">
        <v>74</v>
      </c>
      <c r="B101" s="1249">
        <v>121</v>
      </c>
      <c r="C101" s="322"/>
      <c r="D101" s="322"/>
      <c r="E101" s="322"/>
      <c r="F101" s="322"/>
    </row>
    <row r="102" spans="1:6">
      <c r="A102" s="1248" t="s">
        <v>75</v>
      </c>
      <c r="B102" s="1249">
        <v>138</v>
      </c>
      <c r="C102" s="322"/>
      <c r="D102" s="322"/>
      <c r="E102" s="322"/>
      <c r="F102" s="322"/>
    </row>
    <row r="103" spans="1:6">
      <c r="A103" s="1248" t="s">
        <v>76</v>
      </c>
      <c r="B103" s="1249">
        <v>299</v>
      </c>
      <c r="C103" s="322"/>
      <c r="D103" s="322"/>
      <c r="E103" s="322"/>
      <c r="F103" s="322"/>
    </row>
    <row r="104" spans="1:6">
      <c r="A104" s="1248" t="s">
        <v>77</v>
      </c>
      <c r="B104" s="1249">
        <v>10765</v>
      </c>
      <c r="C104" s="322"/>
      <c r="D104" s="322"/>
      <c r="E104" s="322"/>
      <c r="F104" s="322"/>
    </row>
    <row r="105" spans="1:6">
      <c r="A105" s="1243" t="s">
        <v>78</v>
      </c>
      <c r="B105" s="1251">
        <v>7</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46</v>
      </c>
      <c r="C123" s="1249">
        <v>91</v>
      </c>
      <c r="D123" s="322"/>
      <c r="E123" s="322"/>
      <c r="F123" s="322"/>
    </row>
    <row r="124" spans="1:6">
      <c r="A124" s="1248" t="s">
        <v>88</v>
      </c>
      <c r="B124" s="1249">
        <v>2</v>
      </c>
      <c r="C124" s="1249">
        <v>5</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565</v>
      </c>
      <c r="C129" s="322"/>
      <c r="D129" s="322"/>
      <c r="E129" s="322"/>
      <c r="F129" s="322"/>
    </row>
    <row r="130" spans="1:6">
      <c r="A130" s="1248" t="s">
        <v>284</v>
      </c>
      <c r="B130" s="1249">
        <v>3</v>
      </c>
      <c r="C130" s="322"/>
      <c r="D130" s="322"/>
      <c r="E130" s="322"/>
      <c r="F130" s="322"/>
    </row>
    <row r="131" spans="1:6">
      <c r="A131" s="1248" t="s">
        <v>285</v>
      </c>
      <c r="B131" s="1249">
        <v>2</v>
      </c>
      <c r="C131" s="322"/>
      <c r="D131" s="322"/>
      <c r="E131" s="322"/>
      <c r="F131" s="322"/>
    </row>
    <row r="132" spans="1:6">
      <c r="A132" s="1243" t="s">
        <v>286</v>
      </c>
      <c r="B132" s="1244">
        <v>62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163727.93956210223</v>
      </c>
      <c r="C3" s="43" t="s">
        <v>163</v>
      </c>
      <c r="D3" s="43"/>
      <c r="E3" s="153"/>
      <c r="F3" s="43"/>
      <c r="G3" s="43"/>
      <c r="H3" s="43"/>
      <c r="I3" s="43"/>
      <c r="J3" s="43"/>
      <c r="K3" s="96"/>
    </row>
    <row r="4" spans="1:11">
      <c r="A4" s="348" t="s">
        <v>164</v>
      </c>
      <c r="B4" s="49">
        <f>IF(ISERROR('SEAP template'!B78+'SEAP template'!C78),0,'SEAP template'!B78+'SEAP template'!C78)</f>
        <v>48076.01216782273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0.15610699079518545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2021.1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2021.1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0.15610699079518545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315.50783909614927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60086.648000000001</v>
      </c>
      <c r="C5" s="17">
        <f>IF(ISERROR('Eigen informatie GS &amp; warmtenet'!B57),0,'Eigen informatie GS &amp; warmtenet'!B57)</f>
        <v>0</v>
      </c>
      <c r="D5" s="30">
        <f>(SUM(HH_hh_gas_kWh,HH_rest_gas_kWh)/1000)*0.902</f>
        <v>121040.69240999999</v>
      </c>
      <c r="E5" s="17">
        <f>B32*B41</f>
        <v>4548.7806491103165</v>
      </c>
      <c r="F5" s="17">
        <f>B36*B45</f>
        <v>123672.34212188347</v>
      </c>
      <c r="G5" s="18"/>
      <c r="H5" s="17"/>
      <c r="I5" s="17"/>
      <c r="J5" s="17">
        <f>B35*B44+C35*C44</f>
        <v>2280.7388829556357</v>
      </c>
      <c r="K5" s="17"/>
      <c r="L5" s="17"/>
      <c r="M5" s="17"/>
      <c r="N5" s="17">
        <f>B34*B43+C34*C43</f>
        <v>23535.698061873081</v>
      </c>
      <c r="O5" s="17">
        <f>B52*B53*B54</f>
        <v>1033.3633333333335</v>
      </c>
      <c r="P5" s="17">
        <f>B60*B61*B62/1000-B60*B61*B62/1000/B63</f>
        <v>2097.3333333333335</v>
      </c>
    </row>
    <row r="6" spans="1:16">
      <c r="A6" s="16" t="s">
        <v>586</v>
      </c>
      <c r="B6" s="716">
        <f>kWh_PV_kleiner_dan_10kW</f>
        <v>11797.854046091214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71884.50204609122</v>
      </c>
      <c r="C8" s="21">
        <f>C5</f>
        <v>0</v>
      </c>
      <c r="D8" s="21">
        <f>D5</f>
        <v>121040.69240999999</v>
      </c>
      <c r="E8" s="21">
        <f>E5</f>
        <v>4548.7806491103165</v>
      </c>
      <c r="F8" s="21">
        <f>F5</f>
        <v>123672.34212188347</v>
      </c>
      <c r="G8" s="21"/>
      <c r="H8" s="21"/>
      <c r="I8" s="21"/>
      <c r="J8" s="21">
        <f>J5</f>
        <v>2280.7388829556357</v>
      </c>
      <c r="K8" s="21"/>
      <c r="L8" s="21">
        <f>L5</f>
        <v>0</v>
      </c>
      <c r="M8" s="21">
        <f>M5</f>
        <v>0</v>
      </c>
      <c r="N8" s="21">
        <f>N5</f>
        <v>23535.698061873081</v>
      </c>
      <c r="O8" s="21">
        <f>O5</f>
        <v>1033.3633333333335</v>
      </c>
      <c r="P8" s="21">
        <f>P5</f>
        <v>2097.3333333333335</v>
      </c>
    </row>
    <row r="9" spans="1:16">
      <c r="B9" s="19"/>
      <c r="C9" s="19"/>
      <c r="D9" s="253"/>
      <c r="E9" s="19"/>
      <c r="F9" s="19"/>
      <c r="G9" s="19"/>
      <c r="H9" s="19"/>
      <c r="I9" s="19"/>
      <c r="J9" s="19"/>
      <c r="K9" s="19"/>
      <c r="L9" s="19"/>
      <c r="M9" s="19"/>
      <c r="N9" s="19"/>
      <c r="O9" s="19"/>
      <c r="P9" s="19"/>
    </row>
    <row r="10" spans="1:16">
      <c r="A10" s="24" t="s">
        <v>207</v>
      </c>
      <c r="B10" s="25">
        <f ca="1">'EF ele_warmte'!B12</f>
        <v>0.15610699079518545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11221.673299225651</v>
      </c>
      <c r="C12" s="23">
        <f ca="1">C10*C8</f>
        <v>0</v>
      </c>
      <c r="D12" s="23">
        <f>D8*D10</f>
        <v>24450.21986682</v>
      </c>
      <c r="E12" s="23">
        <f>E10*E8</f>
        <v>1032.5732073480419</v>
      </c>
      <c r="F12" s="23">
        <f>F10*F8</f>
        <v>33020.515346542888</v>
      </c>
      <c r="G12" s="23"/>
      <c r="H12" s="23"/>
      <c r="I12" s="23"/>
      <c r="J12" s="23">
        <f>J10*J8</f>
        <v>807.38156456629497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17431</v>
      </c>
      <c r="C26" s="36"/>
      <c r="D26" s="224"/>
    </row>
    <row r="27" spans="1:5" s="15" customFormat="1">
      <c r="A27" s="226" t="s">
        <v>655</v>
      </c>
      <c r="B27" s="37">
        <f>SUM(HH_hh_gas_aantal,HH_rest_gas_aantal)</f>
        <v>9141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8683.9500000000007</v>
      </c>
      <c r="C31" s="34" t="s">
        <v>104</v>
      </c>
      <c r="D31" s="170"/>
    </row>
    <row r="32" spans="1:5">
      <c r="A32" s="167" t="s">
        <v>72</v>
      </c>
      <c r="B32" s="33">
        <f>IF((B21*($B$26-($B$27-0.05*$B$27)-$B$60))&lt;0,0,B21*($B$26-($B$27-0.05*$B$27)-$B$60))</f>
        <v>55.73857021237918</v>
      </c>
      <c r="C32" s="34" t="s">
        <v>104</v>
      </c>
      <c r="D32" s="170"/>
    </row>
    <row r="33" spans="1:6">
      <c r="A33" s="167" t="s">
        <v>73</v>
      </c>
      <c r="B33" s="33">
        <f>IF((B22*($B$26-($B$27-0.05*$B$27)-$B$60))&lt;0,0,B22*($B$26-($B$27-0.05*$B$27)-$B$60))</f>
        <v>1941.0194971073049</v>
      </c>
      <c r="C33" s="34" t="s">
        <v>104</v>
      </c>
      <c r="D33" s="170"/>
    </row>
    <row r="34" spans="1:6">
      <c r="A34" s="167" t="s">
        <v>74</v>
      </c>
      <c r="B34" s="33">
        <f>IF((B24*($B$26-($B$27-0.05*$B$27)-$B$60))&lt;0,0,B24*($B$26-($B$27-0.05*$B$27)-$B$60))</f>
        <v>385.44669747375252</v>
      </c>
      <c r="C34" s="33">
        <f>B26*C24</f>
        <v>3567.4692554891367</v>
      </c>
      <c r="D34" s="229"/>
    </row>
    <row r="35" spans="1:6">
      <c r="A35" s="167" t="s">
        <v>76</v>
      </c>
      <c r="B35" s="33">
        <f>IF((B19*($B$26-($B$27-0.05*$B$27)-$B$60))&lt;0,0,B19*($B$26-($B$27-0.05*$B$27)-$B$60))</f>
        <v>188.23303904386256</v>
      </c>
      <c r="C35" s="33">
        <f>B35/2</f>
        <v>94.116519521931281</v>
      </c>
      <c r="D35" s="229"/>
    </row>
    <row r="36" spans="1:6">
      <c r="A36" s="167" t="s">
        <v>77</v>
      </c>
      <c r="B36" s="33">
        <f>IF((B18*($B$26-($B$27-0.05*$B$27)-$B$60))&lt;0,0,B18*($B$26-($B$27-0.05*$B$27)-$B$60))</f>
        <v>6066.6121961627023</v>
      </c>
      <c r="C36" s="34" t="s">
        <v>104</v>
      </c>
      <c r="D36" s="170"/>
    </row>
    <row r="37" spans="1:6">
      <c r="A37" s="167" t="s">
        <v>78</v>
      </c>
      <c r="B37" s="33">
        <f>B60</f>
        <v>110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661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110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47850.92</v>
      </c>
      <c r="C5" s="17">
        <f>IF(ISERROR('Eigen informatie GS &amp; warmtenet'!B58),0,'Eigen informatie GS &amp; warmtenet'!B58)</f>
        <v>0</v>
      </c>
      <c r="D5" s="30">
        <f>SUM(D6:D12)</f>
        <v>36160.394358000005</v>
      </c>
      <c r="E5" s="17">
        <f>SUM(E6:E12)</f>
        <v>730.32422349549813</v>
      </c>
      <c r="F5" s="17">
        <f>SUM(F6:F12)</f>
        <v>10512.637323752047</v>
      </c>
      <c r="G5" s="18"/>
      <c r="H5" s="17"/>
      <c r="I5" s="17"/>
      <c r="J5" s="17">
        <f>SUM(J6:J12)</f>
        <v>8.0298221825270716E-2</v>
      </c>
      <c r="K5" s="17"/>
      <c r="L5" s="17"/>
      <c r="M5" s="17"/>
      <c r="N5" s="17">
        <f>SUM(N6:N12)</f>
        <v>2873.0113546937364</v>
      </c>
      <c r="O5" s="17">
        <f>B38*B39*B40</f>
        <v>4.6900000000000004</v>
      </c>
      <c r="P5" s="17">
        <f>B46*B47*B48/1000-B46*B47*B48/1000/B49</f>
        <v>38.133333333333333</v>
      </c>
      <c r="R5" s="32"/>
    </row>
    <row r="6" spans="1:18">
      <c r="A6" s="32" t="s">
        <v>53</v>
      </c>
      <c r="B6" s="37">
        <f>B26</f>
        <v>14441.003000000001</v>
      </c>
      <c r="C6" s="33"/>
      <c r="D6" s="37">
        <f>IF(ISERROR(TER_kantoor_gas_kWh/1000),0,TER_kantoor_gas_kWh/1000)*0.902</f>
        <v>13759.003368</v>
      </c>
      <c r="E6" s="33">
        <f>$C$26*'E Balans VL '!I12/100/3.6*1000000</f>
        <v>8.221502529449005E-18</v>
      </c>
      <c r="F6" s="33">
        <f>$C$26*('E Balans VL '!L12+'E Balans VL '!N12)/100/3.6*1000000</f>
        <v>1952.1856585798723</v>
      </c>
      <c r="G6" s="34"/>
      <c r="H6" s="33"/>
      <c r="I6" s="33"/>
      <c r="J6" s="33">
        <f>$C$26*('E Balans VL '!D12+'E Balans VL '!E12)/100/3.6*1000000</f>
        <v>0</v>
      </c>
      <c r="K6" s="33"/>
      <c r="L6" s="33"/>
      <c r="M6" s="33"/>
      <c r="N6" s="33">
        <f>$C$26*'E Balans VL '!Y12/100/3.6*1000000</f>
        <v>18.149406487138862</v>
      </c>
      <c r="O6" s="33"/>
      <c r="P6" s="33"/>
      <c r="R6" s="32"/>
    </row>
    <row r="7" spans="1:18">
      <c r="A7" s="32" t="s">
        <v>52</v>
      </c>
      <c r="B7" s="37">
        <f t="shared" ref="B7:B12" si="0">B27</f>
        <v>4911.2730000000001</v>
      </c>
      <c r="C7" s="33"/>
      <c r="D7" s="37">
        <f>IF(ISERROR(TER_horeca_gas_kWh/1000),0,TER_horeca_gas_kWh/1000)*0.902</f>
        <v>3843.5789480000003</v>
      </c>
      <c r="E7" s="33">
        <f>$C$27*'E Balans VL '!I9/100/3.6*1000000</f>
        <v>62.72694970907726</v>
      </c>
      <c r="F7" s="33">
        <f>$C$27*('E Balans VL '!L9+'E Balans VL '!N9)/100/3.6*1000000</f>
        <v>554.70621816278594</v>
      </c>
      <c r="G7" s="34"/>
      <c r="H7" s="33"/>
      <c r="I7" s="33"/>
      <c r="J7" s="33">
        <f>$C$27*('E Balans VL '!D9+'E Balans VL '!E9)/100/3.6*1000000</f>
        <v>0</v>
      </c>
      <c r="K7" s="33"/>
      <c r="L7" s="33"/>
      <c r="M7" s="33"/>
      <c r="N7" s="33">
        <f>$C$27*'E Balans VL '!Y9/100/3.6*1000000</f>
        <v>1.1703772030822557</v>
      </c>
      <c r="O7" s="33"/>
      <c r="P7" s="33"/>
      <c r="R7" s="32"/>
    </row>
    <row r="8" spans="1:18">
      <c r="A8" s="6" t="s">
        <v>51</v>
      </c>
      <c r="B8" s="37">
        <f t="shared" si="0"/>
        <v>17306.731</v>
      </c>
      <c r="C8" s="33"/>
      <c r="D8" s="37">
        <f>IF(ISERROR(TER_handel_gas_kWh/1000),0,TER_handel_gas_kWh/1000)*0.902</f>
        <v>8741.0916780000007</v>
      </c>
      <c r="E8" s="33">
        <f>$C$28*'E Balans VL '!I13/100/3.6*1000000</f>
        <v>565.20974366376538</v>
      </c>
      <c r="F8" s="33">
        <f>$C$28*('E Balans VL '!L13+'E Balans VL '!N13)/100/3.6*1000000</f>
        <v>2996.5198526793088</v>
      </c>
      <c r="G8" s="34"/>
      <c r="H8" s="33"/>
      <c r="I8" s="33"/>
      <c r="J8" s="33">
        <f>$C$28*('E Balans VL '!D13+'E Balans VL '!E13)/100/3.6*1000000</f>
        <v>0</v>
      </c>
      <c r="K8" s="33"/>
      <c r="L8" s="33"/>
      <c r="M8" s="33"/>
      <c r="N8" s="33">
        <f>$C$28*'E Balans VL '!Y13/100/3.6*1000000</f>
        <v>20.369542301487087</v>
      </c>
      <c r="O8" s="33"/>
      <c r="P8" s="33"/>
      <c r="R8" s="32"/>
    </row>
    <row r="9" spans="1:18">
      <c r="A9" s="32" t="s">
        <v>50</v>
      </c>
      <c r="B9" s="37">
        <f t="shared" si="0"/>
        <v>3329.5360000000001</v>
      </c>
      <c r="C9" s="33"/>
      <c r="D9" s="37">
        <f>IF(ISERROR(TER_gezond_gas_kWh/1000),0,TER_gezond_gas_kWh/1000)*0.902</f>
        <v>3281.3695640000001</v>
      </c>
      <c r="E9" s="33">
        <f>$C$29*'E Balans VL '!I10/100/3.6*1000000</f>
        <v>0.18592965631510955</v>
      </c>
      <c r="F9" s="33">
        <f>$C$29*('E Balans VL '!L10+'E Balans VL '!N10)/100/3.6*1000000</f>
        <v>441.1511336571337</v>
      </c>
      <c r="G9" s="34"/>
      <c r="H9" s="33"/>
      <c r="I9" s="33"/>
      <c r="J9" s="33">
        <f>$C$29*('E Balans VL '!D10+'E Balans VL '!E10)/100/3.6*1000000</f>
        <v>0</v>
      </c>
      <c r="K9" s="33"/>
      <c r="L9" s="33"/>
      <c r="M9" s="33"/>
      <c r="N9" s="33">
        <f>$C$29*'E Balans VL '!Y10/100/3.6*1000000</f>
        <v>35.290843714674338</v>
      </c>
      <c r="O9" s="33"/>
      <c r="P9" s="33"/>
      <c r="R9" s="32"/>
    </row>
    <row r="10" spans="1:18">
      <c r="A10" s="32" t="s">
        <v>49</v>
      </c>
      <c r="B10" s="37">
        <f t="shared" si="0"/>
        <v>6628.43</v>
      </c>
      <c r="C10" s="33"/>
      <c r="D10" s="37">
        <f>IF(ISERROR(TER_ander_gas_kWh/1000),0,TER_ander_gas_kWh/1000)*0.902</f>
        <v>4091.2284599999998</v>
      </c>
      <c r="E10" s="33">
        <f>$C$30*'E Balans VL '!I14/100/3.6*1000000</f>
        <v>85.595734971226776</v>
      </c>
      <c r="F10" s="33">
        <f>$C$30*('E Balans VL '!L14+'E Balans VL '!N14)/100/3.6*1000000</f>
        <v>4375.2365868314919</v>
      </c>
      <c r="G10" s="34"/>
      <c r="H10" s="33"/>
      <c r="I10" s="33"/>
      <c r="J10" s="33">
        <f>$C$30*('E Balans VL '!D14+'E Balans VL '!E14)/100/3.6*1000000</f>
        <v>8.0298221825270716E-2</v>
      </c>
      <c r="K10" s="33"/>
      <c r="L10" s="33"/>
      <c r="M10" s="33"/>
      <c r="N10" s="33">
        <f>$C$30*'E Balans VL '!Y14/100/3.6*1000000</f>
        <v>2795.1819428933486</v>
      </c>
      <c r="O10" s="33"/>
      <c r="P10" s="33"/>
      <c r="R10" s="32"/>
    </row>
    <row r="11" spans="1:18">
      <c r="A11" s="32" t="s">
        <v>54</v>
      </c>
      <c r="B11" s="37">
        <f t="shared" si="0"/>
        <v>1233.9469999999999</v>
      </c>
      <c r="C11" s="33"/>
      <c r="D11" s="37">
        <f>IF(ISERROR(TER_onderwijs_gas_kWh/1000),0,TER_onderwijs_gas_kWh/1000)*0.902</f>
        <v>2444.1223400000003</v>
      </c>
      <c r="E11" s="33">
        <f>$C$31*'E Balans VL '!I11/100/3.6*1000000</f>
        <v>16.605865495113605</v>
      </c>
      <c r="F11" s="33">
        <f>$C$31*('E Balans VL '!L11+'E Balans VL '!N11)/100/3.6*1000000</f>
        <v>192.83787384145617</v>
      </c>
      <c r="G11" s="34"/>
      <c r="H11" s="33"/>
      <c r="I11" s="33"/>
      <c r="J11" s="33">
        <f>$C$31*('E Balans VL '!D11+'E Balans VL '!E11)/100/3.6*1000000</f>
        <v>0</v>
      </c>
      <c r="K11" s="33"/>
      <c r="L11" s="33"/>
      <c r="M11" s="33"/>
      <c r="N11" s="33">
        <f>$C$31*'E Balans VL '!Y11/100/3.6*1000000</f>
        <v>2.8492420940052998</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47850.92</v>
      </c>
      <c r="C16" s="21">
        <f t="shared" ca="1" si="1"/>
        <v>0</v>
      </c>
      <c r="D16" s="21">
        <f t="shared" ca="1" si="1"/>
        <v>36160.394358000005</v>
      </c>
      <c r="E16" s="21">
        <f t="shared" si="1"/>
        <v>730.32422349549813</v>
      </c>
      <c r="F16" s="21">
        <f t="shared" ca="1" si="1"/>
        <v>10512.637323752047</v>
      </c>
      <c r="G16" s="21">
        <f t="shared" si="1"/>
        <v>0</v>
      </c>
      <c r="H16" s="21">
        <f t="shared" si="1"/>
        <v>0</v>
      </c>
      <c r="I16" s="21">
        <f t="shared" si="1"/>
        <v>0</v>
      </c>
      <c r="J16" s="21">
        <f t="shared" si="1"/>
        <v>8.0298221825270716E-2</v>
      </c>
      <c r="K16" s="21">
        <f t="shared" si="1"/>
        <v>0</v>
      </c>
      <c r="L16" s="21">
        <f t="shared" ca="1" si="1"/>
        <v>0</v>
      </c>
      <c r="M16" s="21">
        <f t="shared" si="1"/>
        <v>0</v>
      </c>
      <c r="N16" s="21">
        <f t="shared" ca="1" si="1"/>
        <v>2873.0113546937364</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0.15610699079518545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7469.8631279811552</v>
      </c>
      <c r="C20" s="23">
        <f t="shared" ref="C20:P20" ca="1" si="2">C16*C18</f>
        <v>0</v>
      </c>
      <c r="D20" s="23">
        <f t="shared" ca="1" si="2"/>
        <v>7304.3996603160012</v>
      </c>
      <c r="E20" s="23">
        <f t="shared" si="2"/>
        <v>165.78359873347807</v>
      </c>
      <c r="F20" s="23">
        <f t="shared" ca="1" si="2"/>
        <v>2806.8741654417968</v>
      </c>
      <c r="G20" s="23">
        <f t="shared" si="2"/>
        <v>0</v>
      </c>
      <c r="H20" s="23">
        <f t="shared" si="2"/>
        <v>0</v>
      </c>
      <c r="I20" s="23">
        <f t="shared" si="2"/>
        <v>0</v>
      </c>
      <c r="J20" s="23">
        <f t="shared" si="2"/>
        <v>2.8425570526145832E-2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14441.003000000001</v>
      </c>
      <c r="C26" s="39">
        <f>IF(ISERROR(B26*3.6/1000000/'E Balans VL '!Z12*100),0,B26*3.6/1000000/'E Balans VL '!Z12*100)</f>
        <v>0.38746960354340571</v>
      </c>
      <c r="D26" s="232" t="s">
        <v>621</v>
      </c>
      <c r="F26" s="6"/>
    </row>
    <row r="27" spans="1:18">
      <c r="A27" s="227" t="s">
        <v>52</v>
      </c>
      <c r="B27" s="33">
        <f>IF(ISERROR(TER_horeca_ele_kWh/1000),0,TER_horeca_ele_kWh/1000)</f>
        <v>4911.2730000000001</v>
      </c>
      <c r="C27" s="39">
        <f>IF(ISERROR(B27*3.6/1000000/'E Balans VL '!Z9*100),0,B27*3.6/1000000/'E Balans VL '!Z9*100)</f>
        <v>0.3901663336966289</v>
      </c>
      <c r="D27" s="232" t="s">
        <v>621</v>
      </c>
      <c r="F27" s="6"/>
    </row>
    <row r="28" spans="1:18">
      <c r="A28" s="167" t="s">
        <v>51</v>
      </c>
      <c r="B28" s="33">
        <f>IF(ISERROR(TER_handel_ele_kWh/1000),0,TER_handel_ele_kWh/1000)</f>
        <v>17306.731</v>
      </c>
      <c r="C28" s="39">
        <f>IF(ISERROR(B28*3.6/1000000/'E Balans VL '!Z13*100),0,B28*3.6/1000000/'E Balans VL '!Z13*100)</f>
        <v>0.50621983507483614</v>
      </c>
      <c r="D28" s="232" t="s">
        <v>621</v>
      </c>
      <c r="F28" s="6"/>
    </row>
    <row r="29" spans="1:18">
      <c r="A29" s="227" t="s">
        <v>50</v>
      </c>
      <c r="B29" s="33">
        <f>IF(ISERROR(TER_gezond_ele_kWh/1000),0,TER_gezond_ele_kWh/1000)</f>
        <v>3329.5360000000001</v>
      </c>
      <c r="C29" s="39">
        <f>IF(ISERROR(B29*3.6/1000000/'E Balans VL '!Z10*100),0,B29*3.6/1000000/'E Balans VL '!Z10*100)</f>
        <v>0.35338332150714741</v>
      </c>
      <c r="D29" s="232" t="s">
        <v>621</v>
      </c>
      <c r="F29" s="6"/>
    </row>
    <row r="30" spans="1:18">
      <c r="A30" s="227" t="s">
        <v>49</v>
      </c>
      <c r="B30" s="33">
        <f>IF(ISERROR(TER_ander_ele_kWh/1000),0,TER_ander_ele_kWh/1000)</f>
        <v>6628.43</v>
      </c>
      <c r="C30" s="39">
        <f>IF(ISERROR(B30*3.6/1000000/'E Balans VL '!Z14*100),0,B30*3.6/1000000/'E Balans VL '!Z14*100)</f>
        <v>0.30831228516528858</v>
      </c>
      <c r="D30" s="232" t="s">
        <v>621</v>
      </c>
      <c r="F30" s="6"/>
    </row>
    <row r="31" spans="1:18">
      <c r="A31" s="227" t="s">
        <v>54</v>
      </c>
      <c r="B31" s="33">
        <f>IF(ISERROR(TER_onderwijs_ele_kWh/1000),0,TER_onderwijs_ele_kWh/1000)</f>
        <v>1233.9469999999999</v>
      </c>
      <c r="C31" s="39">
        <f>IF(ISERROR(B31*3.6/1000000/'E Balans VL '!Z11*100),0,B31*3.6/1000000/'E Balans VL '!Z11*100)</f>
        <v>0.30883135967164477</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39933.440999999999</v>
      </c>
      <c r="C5" s="17">
        <f>IF(ISERROR('Eigen informatie GS &amp; warmtenet'!B59),0,'Eigen informatie GS &amp; warmtenet'!B59)</f>
        <v>0</v>
      </c>
      <c r="D5" s="30">
        <f>SUM(D6:D15)</f>
        <v>35318.524384000004</v>
      </c>
      <c r="E5" s="17">
        <f>SUM(E6:E15)</f>
        <v>1443.1424264849866</v>
      </c>
      <c r="F5" s="17">
        <f>SUM(F6:F15)</f>
        <v>7549.3283037396395</v>
      </c>
      <c r="G5" s="18"/>
      <c r="H5" s="17"/>
      <c r="I5" s="17"/>
      <c r="J5" s="17">
        <f>SUM(J6:J15)</f>
        <v>1191.0232362379579</v>
      </c>
      <c r="K5" s="17"/>
      <c r="L5" s="17"/>
      <c r="M5" s="17"/>
      <c r="N5" s="17">
        <f>SUM(N6:N15)</f>
        <v>8004.1401612788959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4011.9830000000002</v>
      </c>
      <c r="C8" s="33"/>
      <c r="D8" s="37">
        <f>IF( ISERROR(IND_metaal_Gas_kWH/1000),0,IND_metaal_Gas_kWH/1000)*0.902</f>
        <v>9713.8445579999989</v>
      </c>
      <c r="E8" s="33">
        <f>C30*'E Balans VL '!I18/100/3.6*1000000</f>
        <v>144.36328541132289</v>
      </c>
      <c r="F8" s="33">
        <f>C30*'E Balans VL '!L18/100/3.6*1000000+C30*'E Balans VL '!N18/100/3.6*1000000</f>
        <v>1751.9029216036865</v>
      </c>
      <c r="G8" s="34"/>
      <c r="H8" s="33"/>
      <c r="I8" s="33"/>
      <c r="J8" s="40">
        <f>C30*'E Balans VL '!D18/100/3.6*1000000+C30*'E Balans VL '!E18/100/3.6*1000000</f>
        <v>0</v>
      </c>
      <c r="K8" s="33"/>
      <c r="L8" s="33"/>
      <c r="M8" s="33"/>
      <c r="N8" s="33">
        <f>C30*'E Balans VL '!Y18/100/3.6*1000000</f>
        <v>201.07786152865992</v>
      </c>
      <c r="O8" s="33"/>
      <c r="P8" s="33"/>
      <c r="R8" s="32"/>
    </row>
    <row r="9" spans="1:18">
      <c r="A9" s="6" t="s">
        <v>32</v>
      </c>
      <c r="B9" s="37">
        <f t="shared" si="0"/>
        <v>3861.9859999999999</v>
      </c>
      <c r="C9" s="33"/>
      <c r="D9" s="37">
        <f>IF( ISERROR(IND_andere_gas_kWh/1000),0,IND_andere_gas_kWh/1000)*0.902</f>
        <v>4686.8867099999998</v>
      </c>
      <c r="E9" s="33">
        <f>C31*'E Balans VL '!I19/100/3.6*1000000</f>
        <v>985.49144731933052</v>
      </c>
      <c r="F9" s="33">
        <f>C31*'E Balans VL '!L19/100/3.6*1000000+C31*'E Balans VL '!N19/100/3.6*1000000</f>
        <v>3324.8796678471945</v>
      </c>
      <c r="G9" s="34"/>
      <c r="H9" s="33"/>
      <c r="I9" s="33"/>
      <c r="J9" s="40">
        <f>C31*'E Balans VL '!D19/100/3.6*1000000+C31*'E Balans VL '!E19/100/3.6*1000000</f>
        <v>0</v>
      </c>
      <c r="K9" s="33"/>
      <c r="L9" s="33"/>
      <c r="M9" s="33"/>
      <c r="N9" s="33">
        <f>C31*'E Balans VL '!Y19/100/3.6*1000000</f>
        <v>304.66550353547279</v>
      </c>
      <c r="O9" s="33"/>
      <c r="P9" s="33"/>
      <c r="R9" s="32"/>
    </row>
    <row r="10" spans="1:18">
      <c r="A10" s="6" t="s">
        <v>40</v>
      </c>
      <c r="B10" s="37">
        <f t="shared" si="0"/>
        <v>8150.2470000000003</v>
      </c>
      <c r="C10" s="33"/>
      <c r="D10" s="37">
        <f>IF( ISERROR(IND_voed_gas_kWh/1000),0,IND_voed_gas_kWh/1000)*0.902</f>
        <v>5750.5151880000003</v>
      </c>
      <c r="E10" s="33">
        <f>C32*'E Balans VL '!I20/100/3.6*1000000</f>
        <v>207.19046994623145</v>
      </c>
      <c r="F10" s="33">
        <f>C32*'E Balans VL '!L20/100/3.6*1000000+C32*'E Balans VL '!N20/100/3.6*1000000</f>
        <v>1844.2785503414248</v>
      </c>
      <c r="G10" s="34"/>
      <c r="H10" s="33"/>
      <c r="I10" s="33"/>
      <c r="J10" s="40">
        <f>C32*'E Balans VL '!D20/100/3.6*1000000+C32*'E Balans VL '!E20/100/3.6*1000000</f>
        <v>0</v>
      </c>
      <c r="K10" s="33"/>
      <c r="L10" s="33"/>
      <c r="M10" s="33"/>
      <c r="N10" s="33">
        <f>C32*'E Balans VL '!Y20/100/3.6*1000000</f>
        <v>3056.5635461345719</v>
      </c>
      <c r="O10" s="33"/>
      <c r="P10" s="33"/>
      <c r="R10" s="32"/>
    </row>
    <row r="11" spans="1:18">
      <c r="A11" s="6" t="s">
        <v>39</v>
      </c>
      <c r="B11" s="37">
        <f t="shared" si="0"/>
        <v>250.84800000000001</v>
      </c>
      <c r="C11" s="33"/>
      <c r="D11" s="37">
        <f>IF( ISERROR(IND_textiel_gas_kWh/1000),0,IND_textiel_gas_kWh/1000)*0.902</f>
        <v>1681.6310720000001</v>
      </c>
      <c r="E11" s="33">
        <f>C33*'E Balans VL '!I21/100/3.6*1000000</f>
        <v>0.68864521875912343</v>
      </c>
      <c r="F11" s="33">
        <f>C33*'E Balans VL '!L21/100/3.6*1000000+C33*'E Balans VL '!N21/100/3.6*1000000</f>
        <v>13.298915541677724</v>
      </c>
      <c r="G11" s="34"/>
      <c r="H11" s="33"/>
      <c r="I11" s="33"/>
      <c r="J11" s="40">
        <f>C33*'E Balans VL '!D21/100/3.6*1000000+C33*'E Balans VL '!E21/100/3.6*1000000</f>
        <v>0</v>
      </c>
      <c r="K11" s="33"/>
      <c r="L11" s="33"/>
      <c r="M11" s="33"/>
      <c r="N11" s="33">
        <f>C33*'E Balans VL '!Y21/100/3.6*1000000</f>
        <v>0.50416296901918578</v>
      </c>
      <c r="O11" s="33"/>
      <c r="P11" s="33"/>
      <c r="R11" s="32"/>
    </row>
    <row r="12" spans="1:18">
      <c r="A12" s="6" t="s">
        <v>36</v>
      </c>
      <c r="B12" s="37">
        <f t="shared" si="0"/>
        <v>761.00199999999995</v>
      </c>
      <c r="C12" s="33"/>
      <c r="D12" s="37">
        <f>IF( ISERROR(IND_min_gas_kWh/1000),0,IND_min_gas_kWh/1000)*0.902</f>
        <v>0</v>
      </c>
      <c r="E12" s="33">
        <f>C34*'E Balans VL '!I22/100/3.6*1000000</f>
        <v>16.169385259881956</v>
      </c>
      <c r="F12" s="33">
        <f>C34*'E Balans VL '!L22/100/3.6*1000000+C34*'E Balans VL '!N22/100/3.6*1000000</f>
        <v>124.16396163409061</v>
      </c>
      <c r="G12" s="34"/>
      <c r="H12" s="33"/>
      <c r="I12" s="33"/>
      <c r="J12" s="40">
        <f>C34*'E Balans VL '!D22/100/3.6*1000000+C34*'E Balans VL '!E22/100/3.6*1000000</f>
        <v>0.88663834709623524</v>
      </c>
      <c r="K12" s="33"/>
      <c r="L12" s="33"/>
      <c r="M12" s="33"/>
      <c r="N12" s="33">
        <f>C34*'E Balans VL '!Y22/100/3.6*1000000</f>
        <v>0</v>
      </c>
      <c r="O12" s="33"/>
      <c r="P12" s="33"/>
      <c r="R12" s="32"/>
    </row>
    <row r="13" spans="1:18">
      <c r="A13" s="6" t="s">
        <v>38</v>
      </c>
      <c r="B13" s="37">
        <f t="shared" si="0"/>
        <v>17776.262999999999</v>
      </c>
      <c r="C13" s="33"/>
      <c r="D13" s="37">
        <f>IF( ISERROR(IND_papier_gas_kWh/1000),0,IND_papier_gas_kWh/1000)*0.902</f>
        <v>12522.513806000001</v>
      </c>
      <c r="E13" s="33">
        <f>C35*'E Balans VL '!I23/100/3.6*1000000</f>
        <v>76.237220575967854</v>
      </c>
      <c r="F13" s="33">
        <f>C35*'E Balans VL '!L23/100/3.6*1000000+C35*'E Balans VL '!N23/100/3.6*1000000</f>
        <v>446.77266319797229</v>
      </c>
      <c r="G13" s="34"/>
      <c r="H13" s="33"/>
      <c r="I13" s="33"/>
      <c r="J13" s="40">
        <f>C35*'E Balans VL '!D23/100/3.6*1000000+C35*'E Balans VL '!E23/100/3.6*1000000</f>
        <v>1190.0233090581512</v>
      </c>
      <c r="K13" s="33"/>
      <c r="L13" s="33"/>
      <c r="M13" s="33"/>
      <c r="N13" s="33">
        <f>C35*'E Balans VL '!Y23/100/3.6*1000000</f>
        <v>4334.9843936744519</v>
      </c>
      <c r="O13" s="33"/>
      <c r="P13" s="33"/>
      <c r="R13" s="32"/>
    </row>
    <row r="14" spans="1:18">
      <c r="A14" s="6" t="s">
        <v>33</v>
      </c>
      <c r="B14" s="37">
        <f t="shared" si="0"/>
        <v>5107.1379999999999</v>
      </c>
      <c r="C14" s="33"/>
      <c r="D14" s="37">
        <f>IF( ISERROR(IND_chemie_gas_kWh/1000),0,IND_chemie_gas_kWh/1000)*0.902</f>
        <v>832.37371799999994</v>
      </c>
      <c r="E14" s="33">
        <f>C36*'E Balans VL '!I24/100/3.6*1000000</f>
        <v>12.243563389138131</v>
      </c>
      <c r="F14" s="33">
        <f>C36*'E Balans VL '!L24/100/3.6*1000000+C36*'E Balans VL '!N24/100/3.6*1000000</f>
        <v>40.98593770621374</v>
      </c>
      <c r="G14" s="34"/>
      <c r="H14" s="33"/>
      <c r="I14" s="33"/>
      <c r="J14" s="40">
        <f>C36*'E Balans VL '!D24/100/3.6*1000000+C36*'E Balans VL '!E24/100/3.6*1000000</f>
        <v>0</v>
      </c>
      <c r="K14" s="33"/>
      <c r="L14" s="33"/>
      <c r="M14" s="33"/>
      <c r="N14" s="33">
        <f>C36*'E Balans VL '!Y24/100/3.6*1000000</f>
        <v>105.56058309622252</v>
      </c>
      <c r="O14" s="33"/>
      <c r="P14" s="33"/>
      <c r="R14" s="32"/>
    </row>
    <row r="15" spans="1:18">
      <c r="A15" s="6" t="s">
        <v>259</v>
      </c>
      <c r="B15" s="37">
        <f t="shared" si="0"/>
        <v>13.974</v>
      </c>
      <c r="C15" s="33"/>
      <c r="D15" s="37">
        <f>IF( ISERROR(IND_rest_gas_kWh/1000),0,IND_rest_gas_kWh/1000)*0.902</f>
        <v>130.759332</v>
      </c>
      <c r="E15" s="33">
        <f>C37*'E Balans VL '!I15/100/3.6*1000000</f>
        <v>0.7584093643545633</v>
      </c>
      <c r="F15" s="33">
        <f>C37*'E Balans VL '!L15/100/3.6*1000000+C37*'E Balans VL '!N15/100/3.6*1000000</f>
        <v>3.0456858673792149</v>
      </c>
      <c r="G15" s="34"/>
      <c r="H15" s="33"/>
      <c r="I15" s="33"/>
      <c r="J15" s="40">
        <f>C37*'E Balans VL '!D15/100/3.6*1000000+C37*'E Balans VL '!E15/100/3.6*1000000</f>
        <v>0.11328883271043017</v>
      </c>
      <c r="K15" s="33"/>
      <c r="L15" s="33"/>
      <c r="M15" s="33"/>
      <c r="N15" s="33">
        <f>C37*'E Balans VL '!Y15/100/3.6*1000000</f>
        <v>0.78411034049813855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39933.440999999999</v>
      </c>
      <c r="C18" s="21">
        <f>C5+C16</f>
        <v>0</v>
      </c>
      <c r="D18" s="21">
        <f>MAX((D5+D16),0)</f>
        <v>35318.524384000004</v>
      </c>
      <c r="E18" s="21">
        <f>MAX((E5+E16),0)</f>
        <v>1443.1424264849866</v>
      </c>
      <c r="F18" s="21">
        <f>MAX((F5+F16),0)</f>
        <v>7549.3283037396395</v>
      </c>
      <c r="G18" s="21"/>
      <c r="H18" s="21"/>
      <c r="I18" s="21"/>
      <c r="J18" s="21">
        <f>MAX((J5+J16),0)</f>
        <v>1191.0232362379579</v>
      </c>
      <c r="K18" s="21"/>
      <c r="L18" s="21">
        <f>MAX((L5+L16),0)</f>
        <v>0</v>
      </c>
      <c r="M18" s="21"/>
      <c r="N18" s="21">
        <f>MAX((N5+N16),0)</f>
        <v>8004.1401612788959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0.15610699079518545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6233.8893066070814</v>
      </c>
      <c r="C22" s="23">
        <f ca="1">C18*C20</f>
        <v>0</v>
      </c>
      <c r="D22" s="23">
        <f>D18*D20</f>
        <v>7134.341925568001</v>
      </c>
      <c r="E22" s="23">
        <f>E18*E20</f>
        <v>327.59333081209195</v>
      </c>
      <c r="F22" s="23">
        <f>F18*F20</f>
        <v>2015.6706570984838</v>
      </c>
      <c r="G22" s="23"/>
      <c r="H22" s="23"/>
      <c r="I22" s="23"/>
      <c r="J22" s="23">
        <f>J18*J20</f>
        <v>421.62222562823706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4011.9830000000002</v>
      </c>
      <c r="C30" s="39">
        <f>IF(ISERROR(B30*3.6/1000000/'E Balans VL '!Z18*100),0,B30*3.6/1000000/'E Balans VL '!Z18*100)</f>
        <v>0.85005318305144284</v>
      </c>
      <c r="D30" s="232" t="s">
        <v>621</v>
      </c>
    </row>
    <row r="31" spans="1:18">
      <c r="A31" s="6" t="s">
        <v>32</v>
      </c>
      <c r="B31" s="37">
        <f>IF( ISERROR(IND_ander_ele_kWh/1000),0,IND_ander_ele_kWh/1000)</f>
        <v>3861.9859999999999</v>
      </c>
      <c r="C31" s="39">
        <f>IF(ISERROR(B31*3.6/1000000/'E Balans VL '!Z19*100),0,B31*3.6/1000000/'E Balans VL '!Z19*100)</f>
        <v>0.1625597600169667</v>
      </c>
      <c r="D31" s="232" t="s">
        <v>621</v>
      </c>
    </row>
    <row r="32" spans="1:18">
      <c r="A32" s="167" t="s">
        <v>40</v>
      </c>
      <c r="B32" s="37">
        <f>IF( ISERROR(IND_voed_ele_kWh/1000),0,IND_voed_ele_kWh/1000)</f>
        <v>8150.2470000000003</v>
      </c>
      <c r="C32" s="39">
        <f>IF(ISERROR(B32*3.6/1000000/'E Balans VL '!Z20*100),0,B32*3.6/1000000/'E Balans VL '!Z20*100)</f>
        <v>1.3615909750526534</v>
      </c>
      <c r="D32" s="232" t="s">
        <v>621</v>
      </c>
    </row>
    <row r="33" spans="1:5">
      <c r="A33" s="167" t="s">
        <v>39</v>
      </c>
      <c r="B33" s="37">
        <f>IF( ISERROR(IND_textiel_ele_kWh/1000),0,IND_textiel_ele_kWh/1000)</f>
        <v>250.84800000000001</v>
      </c>
      <c r="C33" s="39">
        <f>IF(ISERROR(B33*3.6/1000000/'E Balans VL '!Z21*100),0,B33*3.6/1000000/'E Balans VL '!Z21*100)</f>
        <v>1.4645256906875402E-2</v>
      </c>
      <c r="D33" s="232" t="s">
        <v>621</v>
      </c>
    </row>
    <row r="34" spans="1:5">
      <c r="A34" s="167" t="s">
        <v>36</v>
      </c>
      <c r="B34" s="37">
        <f>IF( ISERROR(IND_min_ele_kWh/1000),0,IND_min_ele_kWh/1000)</f>
        <v>761.00199999999995</v>
      </c>
      <c r="C34" s="39">
        <f>IF(ISERROR(B34*3.6/1000000/'E Balans VL '!Z22*100),0,B34*3.6/1000000/'E Balans VL '!Z22*100)</f>
        <v>9.6461107571664761E-2</v>
      </c>
      <c r="D34" s="232" t="s">
        <v>621</v>
      </c>
    </row>
    <row r="35" spans="1:5">
      <c r="A35" s="167" t="s">
        <v>38</v>
      </c>
      <c r="B35" s="37">
        <f>IF( ISERROR(IND_papier_ele_kWh/1000),0,IND_papier_ele_kWh/1000)</f>
        <v>17776.262999999999</v>
      </c>
      <c r="C35" s="39">
        <f>IF(ISERROR(B35*3.6/1000000/'E Balans VL '!Z22*100),0,B35*3.6/1000000/'E Balans VL '!Z22*100)</f>
        <v>2.253237202353219</v>
      </c>
      <c r="D35" s="232" t="s">
        <v>621</v>
      </c>
    </row>
    <row r="36" spans="1:5">
      <c r="A36" s="167" t="s">
        <v>33</v>
      </c>
      <c r="B36" s="37">
        <f>IF( ISERROR(IND_chemie_ele_kWh/1000),0,IND_chemie_ele_kWh/1000)</f>
        <v>5107.1379999999999</v>
      </c>
      <c r="C36" s="39">
        <f>IF(ISERROR(B36*3.6/1000000/'E Balans VL '!Z24*100),0,B36*3.6/1000000/'E Balans VL '!Z24*100)</f>
        <v>0.16588000693354671</v>
      </c>
      <c r="D36" s="232" t="s">
        <v>621</v>
      </c>
    </row>
    <row r="37" spans="1:5">
      <c r="A37" s="167" t="s">
        <v>259</v>
      </c>
      <c r="B37" s="37">
        <f>IF( ISERROR(IND_rest_ele_kWh/1000),0,IND_rest_ele_kWh/1000)</f>
        <v>13.974</v>
      </c>
      <c r="C37" s="39">
        <f>IF(ISERROR(B37*3.6/1000000/'E Balans VL '!Z15*100),0,B37*3.6/1000000/'E Balans VL '!Z15*100)</f>
        <v>1.1281751298080551E-4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632.39700000000005</v>
      </c>
      <c r="C5" s="17">
        <f>'Eigen informatie GS &amp; warmtenet'!B60</f>
        <v>0</v>
      </c>
      <c r="D5" s="30">
        <f>IF(ISERROR(SUM(LB_lb_gas_kWh,LB_rest_gas_kWh)/1000),0,SUM(LB_lb_gas_kWh,LB_rest_gas_kWh)/1000)*0.902</f>
        <v>402.09446200000002</v>
      </c>
      <c r="E5" s="17">
        <f>B17*'E Balans VL '!I25/3.6*1000000/100</f>
        <v>12.528328436063802</v>
      </c>
      <c r="F5" s="17">
        <f>B17*('E Balans VL '!L25/3.6*1000000+'E Balans VL '!N25/3.6*1000000)/100</f>
        <v>2306.1734966609947</v>
      </c>
      <c r="G5" s="18"/>
      <c r="H5" s="17"/>
      <c r="I5" s="17"/>
      <c r="J5" s="17">
        <f>('E Balans VL '!D25+'E Balans VL '!E25)/3.6*1000000*landbouw!B17/100</f>
        <v>150.15652649883819</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632.39700000000005</v>
      </c>
      <c r="C8" s="21">
        <f>C5+C6</f>
        <v>0</v>
      </c>
      <c r="D8" s="21">
        <f>MAX((D5+D6),0)</f>
        <v>402.09446200000002</v>
      </c>
      <c r="E8" s="21">
        <f>MAX((E5+E6),0)</f>
        <v>12.528328436063802</v>
      </c>
      <c r="F8" s="21">
        <f>MAX((F5+F6),0)</f>
        <v>2306.1734966609947</v>
      </c>
      <c r="G8" s="21"/>
      <c r="H8" s="21"/>
      <c r="I8" s="21"/>
      <c r="J8" s="21">
        <f>MAX((J5+J6),0)</f>
        <v>150.15652649883819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0.15610699079518545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98.721592657902903</v>
      </c>
      <c r="C12" s="23">
        <f ca="1">C8*C10</f>
        <v>0</v>
      </c>
      <c r="D12" s="23">
        <f>D8*D10</f>
        <v>81.223081324000006</v>
      </c>
      <c r="E12" s="23">
        <f>E8*E10</f>
        <v>2.8439305549864833</v>
      </c>
      <c r="F12" s="23">
        <f>F8*F10</f>
        <v>615.74832360848563</v>
      </c>
      <c r="G12" s="23"/>
      <c r="H12" s="23"/>
      <c r="I12" s="23"/>
      <c r="J12" s="23">
        <f>J8*J10</f>
        <v>53.155410380588719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8.9172165903800754E-2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63.018301597433279</v>
      </c>
      <c r="C26" s="242">
        <f>B26*'GWP N2O_CH4'!B5</f>
        <v>1323.3843335460988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18.930081463617537</v>
      </c>
      <c r="C27" s="242">
        <f>B27*'GWP N2O_CH4'!B5</f>
        <v>397.53171073596826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0.89284205236923431</v>
      </c>
      <c r="C28" s="242">
        <f>B28*'GWP N2O_CH4'!B4</f>
        <v>276.78103623446265</v>
      </c>
      <c r="D28" s="50"/>
    </row>
    <row r="29" spans="1:4">
      <c r="A29" s="41" t="s">
        <v>266</v>
      </c>
      <c r="B29" s="242">
        <f>B34*'ha_N2O bodem landbouw'!B4</f>
        <v>12.587361756689878</v>
      </c>
      <c r="C29" s="242">
        <f>B29*'GWP N2O_CH4'!B4</f>
        <v>3902.0821445738625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2.8328404123907258E-3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2.6022894104637954E-4</v>
      </c>
      <c r="C5" s="427" t="s">
        <v>204</v>
      </c>
      <c r="D5" s="412">
        <f>SUM(D6:D11)</f>
        <v>4.3682715536104552E-4</v>
      </c>
      <c r="E5" s="412">
        <f>SUM(E6:E11)</f>
        <v>2.087451467562923E-3</v>
      </c>
      <c r="F5" s="425" t="s">
        <v>204</v>
      </c>
      <c r="G5" s="412">
        <f>SUM(G6:G11)</f>
        <v>0.76715994589475345</v>
      </c>
      <c r="H5" s="412">
        <f>SUM(H6:H11)</f>
        <v>0.15219748784170026</v>
      </c>
      <c r="I5" s="427" t="s">
        <v>204</v>
      </c>
      <c r="J5" s="427" t="s">
        <v>204</v>
      </c>
      <c r="K5" s="427" t="s">
        <v>204</v>
      </c>
      <c r="L5" s="427" t="s">
        <v>204</v>
      </c>
      <c r="M5" s="412">
        <f>SUM(M6:M11)</f>
        <v>2.8696172126860348E-2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7.7109622601437836E-5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1.2150390270690562E-4</v>
      </c>
      <c r="E6" s="818">
        <f>vkm_GW_PW*SUMIFS(TableVerdeelsleutelVkm[LPG],TableVerdeelsleutelVkm[Voertuigtype],"Lichte voertuigen")*SUMIFS(TableECFTransport[EnergieConsumptieFactor (PJ per km)],TableECFTransport[Index],CONCATENATE($A6,"_LPG_LPG"))</f>
        <v>5.5463670876421806E-4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0.14975299079551863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4.228582864099209E-2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5.9785554143633509E-3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1.2195497941810695E-6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4.2036496935860174E-2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8.5400723378689666E-7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1.3224734113658418E-3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8.4834289759463163E-5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1.893675583119807E-4</v>
      </c>
      <c r="E8" s="415">
        <f>vkm_NGW_PW*SUMIFS(TableVerdeelsleutelVkm[LPG],TableVerdeelsleutelVkm[Voertuigtype],"Lichte voertuigen")*SUMIFS(TableECFTransport[EnergieConsumptieFactor (PJ per km)],TableECFTransport[Index],CONCATENATE($A8,"_LPG_LPG"))</f>
        <v>8.2467518021325488E-4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0.20760807806954179</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6.3942767777277934E-2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8.4477543235416917E-3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6.0549681421312011E-7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2.6834896221160212E-2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5.1178826177770732E-7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8.4422816535185421E-4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9.1357156758580332E-5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1.259556943421592E-4</v>
      </c>
      <c r="E10" s="415">
        <f>vkm_SW_PW*SUMIFS(TableVerdeelsleutelVkm[LPG],TableVerdeelsleutelVkm[Voertuigtype],"Lichte voertuigen")*SUMIFS(TableECFTransport[EnergieConsumptieFactor (PJ per km)],TableECFTransport[Index],CONCATENATE($A10,"_LPG_LPG"))</f>
        <v>7.0813957858545016E-4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0.17333075817667548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4.5963847700527312E-2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6.8305388348413147E-3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5.1028253185040196E-6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0.16759672569599726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3.6779274073463424E-6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5.2726219773962983E-3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72.285816957327654</v>
      </c>
      <c r="C14" s="21"/>
      <c r="D14" s="21">
        <f t="shared" ref="D14:M14" si="0">((D5)*10^9/3600)+D12</f>
        <v>121.34087648917931</v>
      </c>
      <c r="E14" s="21">
        <f t="shared" si="0"/>
        <v>579.84762987858971</v>
      </c>
      <c r="F14" s="21"/>
      <c r="G14" s="21">
        <f t="shared" si="0"/>
        <v>213099.98497076484</v>
      </c>
      <c r="H14" s="21">
        <f t="shared" si="0"/>
        <v>42277.079956027846</v>
      </c>
      <c r="I14" s="21"/>
      <c r="J14" s="21"/>
      <c r="K14" s="21"/>
      <c r="L14" s="21"/>
      <c r="M14" s="21">
        <f t="shared" si="0"/>
        <v>7971.1589241278743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0.15610699079518545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11.284321362380009</v>
      </c>
      <c r="C18" s="23"/>
      <c r="D18" s="23">
        <f t="shared" ref="D18:M18" si="1">D14*D16</f>
        <v>24.510857050814224</v>
      </c>
      <c r="E18" s="23">
        <f t="shared" si="1"/>
        <v>131.62541198243986</v>
      </c>
      <c r="F18" s="23"/>
      <c r="G18" s="23">
        <f t="shared" si="1"/>
        <v>56897.695987194216</v>
      </c>
      <c r="H18" s="23">
        <f t="shared" si="1"/>
        <v>10526.992909050934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6.8665316593356329E-5</v>
      </c>
      <c r="C50" s="311">
        <f t="shared" ref="C50:P50" si="2">SUM(C51:C52)</f>
        <v>0</v>
      </c>
      <c r="D50" s="311">
        <f t="shared" si="2"/>
        <v>0</v>
      </c>
      <c r="E50" s="311">
        <f t="shared" si="2"/>
        <v>0</v>
      </c>
      <c r="F50" s="311">
        <f t="shared" si="2"/>
        <v>0</v>
      </c>
      <c r="G50" s="311">
        <f t="shared" si="2"/>
        <v>1.2243171322179065E-2</v>
      </c>
      <c r="H50" s="311">
        <f t="shared" si="2"/>
        <v>0</v>
      </c>
      <c r="I50" s="311">
        <f t="shared" si="2"/>
        <v>0</v>
      </c>
      <c r="J50" s="311">
        <f t="shared" si="2"/>
        <v>0</v>
      </c>
      <c r="K50" s="311">
        <f t="shared" si="2"/>
        <v>0</v>
      </c>
      <c r="L50" s="311">
        <f t="shared" si="2"/>
        <v>0</v>
      </c>
      <c r="M50" s="311">
        <f t="shared" si="2"/>
        <v>3.8218437087094554E-4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6.8665316593356329E-5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1.2243171322179065E-2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3.8218437087094554E-4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19.07369905371009</v>
      </c>
      <c r="C54" s="21">
        <f t="shared" ref="C54:P54" si="3">(C50)*10^9/3600</f>
        <v>0</v>
      </c>
      <c r="D54" s="21">
        <f t="shared" si="3"/>
        <v>0</v>
      </c>
      <c r="E54" s="21">
        <f t="shared" si="3"/>
        <v>0</v>
      </c>
      <c r="F54" s="21">
        <f t="shared" si="3"/>
        <v>0</v>
      </c>
      <c r="G54" s="21">
        <f t="shared" si="3"/>
        <v>3400.8809228275181</v>
      </c>
      <c r="H54" s="21">
        <f t="shared" si="3"/>
        <v>0</v>
      </c>
      <c r="I54" s="21">
        <f t="shared" si="3"/>
        <v>0</v>
      </c>
      <c r="J54" s="21">
        <f t="shared" si="3"/>
        <v>0</v>
      </c>
      <c r="K54" s="21">
        <f t="shared" si="3"/>
        <v>0</v>
      </c>
      <c r="L54" s="21">
        <f t="shared" si="3"/>
        <v>0</v>
      </c>
      <c r="M54" s="21">
        <f t="shared" si="3"/>
        <v>106.16232524192931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0.15610699079518545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2.9775377626076582</v>
      </c>
      <c r="C58" s="23">
        <f t="shared" ref="C58:P58" ca="1" si="4">C54*C56</f>
        <v>0</v>
      </c>
      <c r="D58" s="23">
        <f t="shared" si="4"/>
        <v>0</v>
      </c>
      <c r="E58" s="23">
        <f t="shared" si="4"/>
        <v>0</v>
      </c>
      <c r="F58" s="23">
        <f t="shared" si="4"/>
        <v>0</v>
      </c>
      <c r="G58" s="23">
        <f t="shared" si="4"/>
        <v>908.03520639494741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29632.701756375016</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18443.31041144771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48076.01216782273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49872.02</v>
      </c>
      <c r="D10" s="930">
        <f ca="1">tertiair!C16</f>
        <v>0</v>
      </c>
      <c r="E10" s="930">
        <f ca="1">tertiair!D16</f>
        <v>36160.394358000005</v>
      </c>
      <c r="F10" s="930">
        <f>tertiair!E16</f>
        <v>730.32422349549813</v>
      </c>
      <c r="G10" s="930">
        <f ca="1">tertiair!F16</f>
        <v>10512.637323752047</v>
      </c>
      <c r="H10" s="930">
        <f>tertiair!G16</f>
        <v>0</v>
      </c>
      <c r="I10" s="930">
        <f>tertiair!H16</f>
        <v>0</v>
      </c>
      <c r="J10" s="930">
        <f>tertiair!I16</f>
        <v>0</v>
      </c>
      <c r="K10" s="930">
        <f>tertiair!J16</f>
        <v>8.0298221825270716E-2</v>
      </c>
      <c r="L10" s="930">
        <f>tertiair!K16</f>
        <v>0</v>
      </c>
      <c r="M10" s="930">
        <f ca="1">tertiair!L16</f>
        <v>0</v>
      </c>
      <c r="N10" s="930">
        <f>tertiair!M16</f>
        <v>0</v>
      </c>
      <c r="O10" s="930">
        <f ca="1">tertiair!N16</f>
        <v>2873.0113546937364</v>
      </c>
      <c r="P10" s="930">
        <f>tertiair!O16</f>
        <v>4.6900000000000004</v>
      </c>
      <c r="Q10" s="931">
        <f>tertiair!P16</f>
        <v>38.133333333333333</v>
      </c>
      <c r="R10" s="628">
        <f ca="1">SUM(C10:Q10)</f>
        <v>100191.29089149645</v>
      </c>
      <c r="S10" s="67"/>
    </row>
    <row r="11" spans="1:19" s="437" customFormat="1">
      <c r="A11" s="736" t="s">
        <v>214</v>
      </c>
      <c r="B11" s="741"/>
      <c r="C11" s="930">
        <f>huishoudens!B8</f>
        <v>71884.50204609122</v>
      </c>
      <c r="D11" s="930">
        <f>huishoudens!C8</f>
        <v>0</v>
      </c>
      <c r="E11" s="930">
        <f>huishoudens!D8</f>
        <v>121040.69240999999</v>
      </c>
      <c r="F11" s="930">
        <f>huishoudens!E8</f>
        <v>4548.7806491103165</v>
      </c>
      <c r="G11" s="930">
        <f>huishoudens!F8</f>
        <v>123672.34212188347</v>
      </c>
      <c r="H11" s="930">
        <f>huishoudens!G8</f>
        <v>0</v>
      </c>
      <c r="I11" s="930">
        <f>huishoudens!H8</f>
        <v>0</v>
      </c>
      <c r="J11" s="930">
        <f>huishoudens!I8</f>
        <v>0</v>
      </c>
      <c r="K11" s="930">
        <f>huishoudens!J8</f>
        <v>2280.7388829556357</v>
      </c>
      <c r="L11" s="930">
        <f>huishoudens!K8</f>
        <v>0</v>
      </c>
      <c r="M11" s="930">
        <f>huishoudens!L8</f>
        <v>0</v>
      </c>
      <c r="N11" s="930">
        <f>huishoudens!M8</f>
        <v>0</v>
      </c>
      <c r="O11" s="930">
        <f>huishoudens!N8</f>
        <v>23535.698061873081</v>
      </c>
      <c r="P11" s="930">
        <f>huishoudens!O8</f>
        <v>1033.3633333333335</v>
      </c>
      <c r="Q11" s="931">
        <f>huishoudens!P8</f>
        <v>2097.3333333333335</v>
      </c>
      <c r="R11" s="628">
        <f>SUM(C11:Q11)</f>
        <v>350093.45083858038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39933.440999999999</v>
      </c>
      <c r="D13" s="930">
        <f>industrie!C18</f>
        <v>0</v>
      </c>
      <c r="E13" s="930">
        <f>industrie!D18</f>
        <v>35318.524384000004</v>
      </c>
      <c r="F13" s="930">
        <f>industrie!E18</f>
        <v>1443.1424264849866</v>
      </c>
      <c r="G13" s="930">
        <f>industrie!F18</f>
        <v>7549.3283037396395</v>
      </c>
      <c r="H13" s="930">
        <f>industrie!G18</f>
        <v>0</v>
      </c>
      <c r="I13" s="930">
        <f>industrie!H18</f>
        <v>0</v>
      </c>
      <c r="J13" s="930">
        <f>industrie!I18</f>
        <v>0</v>
      </c>
      <c r="K13" s="930">
        <f>industrie!J18</f>
        <v>1191.0232362379579</v>
      </c>
      <c r="L13" s="930">
        <f>industrie!K18</f>
        <v>0</v>
      </c>
      <c r="M13" s="930">
        <f>industrie!L18</f>
        <v>0</v>
      </c>
      <c r="N13" s="930">
        <f>industrie!M18</f>
        <v>0</v>
      </c>
      <c r="O13" s="930">
        <f>industrie!N18</f>
        <v>8004.1401612788959</v>
      </c>
      <c r="P13" s="930">
        <f>industrie!O18</f>
        <v>0</v>
      </c>
      <c r="Q13" s="931">
        <f>industrie!P18</f>
        <v>0</v>
      </c>
      <c r="R13" s="628">
        <f>SUM(C13:Q13)</f>
        <v>93439.599511741486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161689.9630460912</v>
      </c>
      <c r="D16" s="660">
        <f t="shared" ref="D16:R16" ca="1" si="0">SUM(D9:D15)</f>
        <v>0</v>
      </c>
      <c r="E16" s="660">
        <f t="shared" ca="1" si="0"/>
        <v>192519.61115199997</v>
      </c>
      <c r="F16" s="660">
        <f t="shared" si="0"/>
        <v>6722.2472990908009</v>
      </c>
      <c r="G16" s="660">
        <f t="shared" ca="1" si="0"/>
        <v>141734.30774937515</v>
      </c>
      <c r="H16" s="660">
        <f t="shared" si="0"/>
        <v>0</v>
      </c>
      <c r="I16" s="660">
        <f t="shared" si="0"/>
        <v>0</v>
      </c>
      <c r="J16" s="660">
        <f t="shared" si="0"/>
        <v>0</v>
      </c>
      <c r="K16" s="660">
        <f t="shared" si="0"/>
        <v>3471.8424174154188</v>
      </c>
      <c r="L16" s="660">
        <f t="shared" si="0"/>
        <v>0</v>
      </c>
      <c r="M16" s="660">
        <f t="shared" ca="1" si="0"/>
        <v>0</v>
      </c>
      <c r="N16" s="660">
        <f t="shared" si="0"/>
        <v>0</v>
      </c>
      <c r="O16" s="660">
        <f t="shared" ca="1" si="0"/>
        <v>34412.849577845715</v>
      </c>
      <c r="P16" s="660">
        <f t="shared" si="0"/>
        <v>1038.0533333333335</v>
      </c>
      <c r="Q16" s="660">
        <f t="shared" si="0"/>
        <v>2135.4666666666667</v>
      </c>
      <c r="R16" s="660">
        <f t="shared" ca="1" si="0"/>
        <v>543724.34124181839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19.07369905371009</v>
      </c>
      <c r="D19" s="930">
        <f>transport!C54</f>
        <v>0</v>
      </c>
      <c r="E19" s="930">
        <f>transport!D54</f>
        <v>0</v>
      </c>
      <c r="F19" s="930">
        <f>transport!E54</f>
        <v>0</v>
      </c>
      <c r="G19" s="930">
        <f>transport!F54</f>
        <v>0</v>
      </c>
      <c r="H19" s="930">
        <f>transport!G54</f>
        <v>3400.8809228275181</v>
      </c>
      <c r="I19" s="930">
        <f>transport!H54</f>
        <v>0</v>
      </c>
      <c r="J19" s="930">
        <f>transport!I54</f>
        <v>0</v>
      </c>
      <c r="K19" s="930">
        <f>transport!J54</f>
        <v>0</v>
      </c>
      <c r="L19" s="930">
        <f>transport!K54</f>
        <v>0</v>
      </c>
      <c r="M19" s="930">
        <f>transport!L54</f>
        <v>0</v>
      </c>
      <c r="N19" s="930">
        <f>transport!M54</f>
        <v>106.16232524192931</v>
      </c>
      <c r="O19" s="930">
        <f>transport!N54</f>
        <v>0</v>
      </c>
      <c r="P19" s="930">
        <f>transport!O54</f>
        <v>0</v>
      </c>
      <c r="Q19" s="931">
        <f>transport!P54</f>
        <v>0</v>
      </c>
      <c r="R19" s="628">
        <f>SUM(C19:Q19)</f>
        <v>3526.1169471231578</v>
      </c>
      <c r="S19" s="67"/>
    </row>
    <row r="20" spans="1:19" s="437" customFormat="1">
      <c r="A20" s="736" t="s">
        <v>296</v>
      </c>
      <c r="B20" s="741"/>
      <c r="C20" s="930">
        <f>transport!B14</f>
        <v>72.285816957327654</v>
      </c>
      <c r="D20" s="930">
        <f>transport!C14</f>
        <v>0</v>
      </c>
      <c r="E20" s="930">
        <f>transport!D14</f>
        <v>121.34087648917931</v>
      </c>
      <c r="F20" s="930">
        <f>transport!E14</f>
        <v>579.84762987858971</v>
      </c>
      <c r="G20" s="930">
        <f>transport!F14</f>
        <v>0</v>
      </c>
      <c r="H20" s="930">
        <f>transport!G14</f>
        <v>213099.98497076484</v>
      </c>
      <c r="I20" s="930">
        <f>transport!H14</f>
        <v>42277.079956027846</v>
      </c>
      <c r="J20" s="930">
        <f>transport!I14</f>
        <v>0</v>
      </c>
      <c r="K20" s="930">
        <f>transport!J14</f>
        <v>0</v>
      </c>
      <c r="L20" s="930">
        <f>transport!K14</f>
        <v>0</v>
      </c>
      <c r="M20" s="930">
        <f>transport!L14</f>
        <v>0</v>
      </c>
      <c r="N20" s="930">
        <f>transport!M14</f>
        <v>7971.1589241278743</v>
      </c>
      <c r="O20" s="930">
        <f>transport!N14</f>
        <v>0</v>
      </c>
      <c r="P20" s="930">
        <f>transport!O14</f>
        <v>0</v>
      </c>
      <c r="Q20" s="931">
        <f>transport!P14</f>
        <v>0</v>
      </c>
      <c r="R20" s="628">
        <f>SUM(C20:Q20)</f>
        <v>264121.69817424566</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91.359516011037741</v>
      </c>
      <c r="D22" s="739">
        <f t="shared" ref="D22:R22" si="1">SUM(D18:D21)</f>
        <v>0</v>
      </c>
      <c r="E22" s="739">
        <f t="shared" si="1"/>
        <v>121.34087648917931</v>
      </c>
      <c r="F22" s="739">
        <f t="shared" si="1"/>
        <v>579.84762987858971</v>
      </c>
      <c r="G22" s="739">
        <f t="shared" si="1"/>
        <v>0</v>
      </c>
      <c r="H22" s="739">
        <f t="shared" si="1"/>
        <v>216500.86589359236</v>
      </c>
      <c r="I22" s="739">
        <f t="shared" si="1"/>
        <v>42277.079956027846</v>
      </c>
      <c r="J22" s="739">
        <f t="shared" si="1"/>
        <v>0</v>
      </c>
      <c r="K22" s="739">
        <f t="shared" si="1"/>
        <v>0</v>
      </c>
      <c r="L22" s="739">
        <f t="shared" si="1"/>
        <v>0</v>
      </c>
      <c r="M22" s="739">
        <f t="shared" si="1"/>
        <v>0</v>
      </c>
      <c r="N22" s="739">
        <f t="shared" si="1"/>
        <v>8077.3212493698038</v>
      </c>
      <c r="O22" s="739">
        <f t="shared" si="1"/>
        <v>0</v>
      </c>
      <c r="P22" s="739">
        <f t="shared" si="1"/>
        <v>0</v>
      </c>
      <c r="Q22" s="739">
        <f t="shared" si="1"/>
        <v>0</v>
      </c>
      <c r="R22" s="739">
        <f t="shared" si="1"/>
        <v>267647.8151213688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632.39700000000005</v>
      </c>
      <c r="D24" s="930">
        <f>+landbouw!C8</f>
        <v>0</v>
      </c>
      <c r="E24" s="930">
        <f>+landbouw!D8</f>
        <v>402.09446200000002</v>
      </c>
      <c r="F24" s="930">
        <f>+landbouw!E8</f>
        <v>12.528328436063802</v>
      </c>
      <c r="G24" s="930">
        <f>+landbouw!F8</f>
        <v>2306.1734966609947</v>
      </c>
      <c r="H24" s="930">
        <f>+landbouw!G8</f>
        <v>0</v>
      </c>
      <c r="I24" s="930">
        <f>+landbouw!H8</f>
        <v>0</v>
      </c>
      <c r="J24" s="930">
        <f>+landbouw!I8</f>
        <v>0</v>
      </c>
      <c r="K24" s="930">
        <f>+landbouw!J8</f>
        <v>150.15652649883819</v>
      </c>
      <c r="L24" s="930">
        <f>+landbouw!K8</f>
        <v>0</v>
      </c>
      <c r="M24" s="930">
        <f>+landbouw!L8</f>
        <v>0</v>
      </c>
      <c r="N24" s="930">
        <f>+landbouw!M8</f>
        <v>0</v>
      </c>
      <c r="O24" s="930">
        <f>+landbouw!N8</f>
        <v>0</v>
      </c>
      <c r="P24" s="930">
        <f>+landbouw!O8</f>
        <v>0</v>
      </c>
      <c r="Q24" s="931">
        <f>+landbouw!P8</f>
        <v>0</v>
      </c>
      <c r="R24" s="628">
        <f>SUM(C24:Q24)</f>
        <v>3503.3498135958966</v>
      </c>
      <c r="S24" s="67"/>
    </row>
    <row r="25" spans="1:19" s="437" customFormat="1" ht="15" thickBot="1">
      <c r="A25" s="758" t="s">
        <v>788</v>
      </c>
      <c r="B25" s="933"/>
      <c r="C25" s="934">
        <f>IF(Onbekend_ele_kWh="---",0,Onbekend_ele_kWh)/1000+IF(REST_rest_ele_kWh="---",0,REST_rest_ele_kWh)/1000</f>
        <v>1314.22</v>
      </c>
      <c r="D25" s="934"/>
      <c r="E25" s="934">
        <f>IF(onbekend_gas_kWh="---",0,onbekend_gas_kWh)/1000+IF(REST_rest_gas_kWh="---",0,REST_rest_gas_kWh)/1000</f>
        <v>1781.049</v>
      </c>
      <c r="F25" s="934"/>
      <c r="G25" s="934"/>
      <c r="H25" s="934"/>
      <c r="I25" s="934"/>
      <c r="J25" s="934"/>
      <c r="K25" s="934"/>
      <c r="L25" s="934"/>
      <c r="M25" s="934"/>
      <c r="N25" s="934"/>
      <c r="O25" s="934"/>
      <c r="P25" s="934"/>
      <c r="Q25" s="935"/>
      <c r="R25" s="628">
        <f>SUM(C25:Q25)</f>
        <v>3095.2690000000002</v>
      </c>
      <c r="S25" s="67"/>
    </row>
    <row r="26" spans="1:19" s="437" customFormat="1" ht="15.75" thickBot="1">
      <c r="A26" s="633" t="s">
        <v>789</v>
      </c>
      <c r="B26" s="744"/>
      <c r="C26" s="739">
        <f>SUM(C24:C25)</f>
        <v>1946.6170000000002</v>
      </c>
      <c r="D26" s="739">
        <f t="shared" ref="D26:R26" si="2">SUM(D24:D25)</f>
        <v>0</v>
      </c>
      <c r="E26" s="739">
        <f t="shared" si="2"/>
        <v>2183.143462</v>
      </c>
      <c r="F26" s="739">
        <f t="shared" si="2"/>
        <v>12.528328436063802</v>
      </c>
      <c r="G26" s="739">
        <f t="shared" si="2"/>
        <v>2306.1734966609947</v>
      </c>
      <c r="H26" s="739">
        <f t="shared" si="2"/>
        <v>0</v>
      </c>
      <c r="I26" s="739">
        <f t="shared" si="2"/>
        <v>0</v>
      </c>
      <c r="J26" s="739">
        <f t="shared" si="2"/>
        <v>0</v>
      </c>
      <c r="K26" s="739">
        <f t="shared" si="2"/>
        <v>150.15652649883819</v>
      </c>
      <c r="L26" s="739">
        <f t="shared" si="2"/>
        <v>0</v>
      </c>
      <c r="M26" s="739">
        <f t="shared" si="2"/>
        <v>0</v>
      </c>
      <c r="N26" s="739">
        <f t="shared" si="2"/>
        <v>0</v>
      </c>
      <c r="O26" s="739">
        <f t="shared" si="2"/>
        <v>0</v>
      </c>
      <c r="P26" s="739">
        <f t="shared" si="2"/>
        <v>0</v>
      </c>
      <c r="Q26" s="739">
        <f t="shared" si="2"/>
        <v>0</v>
      </c>
      <c r="R26" s="739">
        <f t="shared" si="2"/>
        <v>6598.6188135958964</v>
      </c>
      <c r="S26" s="67"/>
    </row>
    <row r="27" spans="1:19" s="437" customFormat="1" ht="17.25" thickTop="1" thickBot="1">
      <c r="A27" s="634" t="s">
        <v>109</v>
      </c>
      <c r="B27" s="732"/>
      <c r="C27" s="635">
        <f ca="1">C22+C16+C26</f>
        <v>163727.93956210223</v>
      </c>
      <c r="D27" s="635">
        <f t="shared" ref="D27:R27" ca="1" si="3">D22+D16+D26</f>
        <v>0</v>
      </c>
      <c r="E27" s="635">
        <f t="shared" ca="1" si="3"/>
        <v>194824.09549048916</v>
      </c>
      <c r="F27" s="635">
        <f t="shared" si="3"/>
        <v>7314.6232574054548</v>
      </c>
      <c r="G27" s="635">
        <f t="shared" ca="1" si="3"/>
        <v>144040.48124603613</v>
      </c>
      <c r="H27" s="635">
        <f t="shared" si="3"/>
        <v>216500.86589359236</v>
      </c>
      <c r="I27" s="635">
        <f t="shared" si="3"/>
        <v>42277.079956027846</v>
      </c>
      <c r="J27" s="635">
        <f t="shared" si="3"/>
        <v>0</v>
      </c>
      <c r="K27" s="635">
        <f t="shared" si="3"/>
        <v>3621.9989439142569</v>
      </c>
      <c r="L27" s="635">
        <f t="shared" si="3"/>
        <v>0</v>
      </c>
      <c r="M27" s="635">
        <f t="shared" ca="1" si="3"/>
        <v>0</v>
      </c>
      <c r="N27" s="635">
        <f t="shared" si="3"/>
        <v>8077.3212493698038</v>
      </c>
      <c r="O27" s="635">
        <f t="shared" ca="1" si="3"/>
        <v>34412.849577845715</v>
      </c>
      <c r="P27" s="635">
        <f t="shared" si="3"/>
        <v>1038.0533333333335</v>
      </c>
      <c r="Q27" s="635">
        <f t="shared" si="3"/>
        <v>2135.4666666666667</v>
      </c>
      <c r="R27" s="635">
        <f t="shared" ca="1" si="3"/>
        <v>817970.77517678298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7785.3709670773042</v>
      </c>
      <c r="D40" s="930">
        <f ca="1">tertiair!C20</f>
        <v>0</v>
      </c>
      <c r="E40" s="930">
        <f ca="1">tertiair!D20</f>
        <v>7304.3996603160012</v>
      </c>
      <c r="F40" s="930">
        <f>tertiair!E20</f>
        <v>165.78359873347807</v>
      </c>
      <c r="G40" s="930">
        <f ca="1">tertiair!F20</f>
        <v>2806.8741654417968</v>
      </c>
      <c r="H40" s="930">
        <f>tertiair!G20</f>
        <v>0</v>
      </c>
      <c r="I40" s="930">
        <f>tertiair!H20</f>
        <v>0</v>
      </c>
      <c r="J40" s="930">
        <f>tertiair!I20</f>
        <v>0</v>
      </c>
      <c r="K40" s="930">
        <f>tertiair!J20</f>
        <v>2.8425570526145832E-2</v>
      </c>
      <c r="L40" s="930">
        <f>tertiair!K20</f>
        <v>0</v>
      </c>
      <c r="M40" s="930">
        <f ca="1">tertiair!L20</f>
        <v>0</v>
      </c>
      <c r="N40" s="930">
        <f>tertiair!M20</f>
        <v>0</v>
      </c>
      <c r="O40" s="930">
        <f ca="1">tertiair!N20</f>
        <v>0</v>
      </c>
      <c r="P40" s="930">
        <f>tertiair!O20</f>
        <v>0</v>
      </c>
      <c r="Q40" s="702">
        <f>tertiair!P20</f>
        <v>0</v>
      </c>
      <c r="R40" s="777">
        <f t="shared" ca="1" si="4"/>
        <v>18062.456817139107</v>
      </c>
    </row>
    <row r="41" spans="1:18">
      <c r="A41" s="749" t="s">
        <v>214</v>
      </c>
      <c r="B41" s="756"/>
      <c r="C41" s="930">
        <f ca="1">huishoudens!B12</f>
        <v>11221.673299225651</v>
      </c>
      <c r="D41" s="930">
        <f ca="1">huishoudens!C12</f>
        <v>0</v>
      </c>
      <c r="E41" s="930">
        <f>huishoudens!D12</f>
        <v>24450.21986682</v>
      </c>
      <c r="F41" s="930">
        <f>huishoudens!E12</f>
        <v>1032.5732073480419</v>
      </c>
      <c r="G41" s="930">
        <f>huishoudens!F12</f>
        <v>33020.515346542888</v>
      </c>
      <c r="H41" s="930">
        <f>huishoudens!G12</f>
        <v>0</v>
      </c>
      <c r="I41" s="930">
        <f>huishoudens!H12</f>
        <v>0</v>
      </c>
      <c r="J41" s="930">
        <f>huishoudens!I12</f>
        <v>0</v>
      </c>
      <c r="K41" s="930">
        <f>huishoudens!J12</f>
        <v>807.38156456629497</v>
      </c>
      <c r="L41" s="930">
        <f>huishoudens!K12</f>
        <v>0</v>
      </c>
      <c r="M41" s="930">
        <f>huishoudens!L12</f>
        <v>0</v>
      </c>
      <c r="N41" s="930">
        <f>huishoudens!M12</f>
        <v>0</v>
      </c>
      <c r="O41" s="930">
        <f>huishoudens!N12</f>
        <v>0</v>
      </c>
      <c r="P41" s="930">
        <f>huishoudens!O12</f>
        <v>0</v>
      </c>
      <c r="Q41" s="702">
        <f>huishoudens!P12</f>
        <v>0</v>
      </c>
      <c r="R41" s="777">
        <f t="shared" ca="1" si="4"/>
        <v>70532.363284502877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6233.8893066070814</v>
      </c>
      <c r="D43" s="930">
        <f ca="1">industrie!C22</f>
        <v>0</v>
      </c>
      <c r="E43" s="930">
        <f>industrie!D22</f>
        <v>7134.341925568001</v>
      </c>
      <c r="F43" s="930">
        <f>industrie!E22</f>
        <v>327.59333081209195</v>
      </c>
      <c r="G43" s="930">
        <f>industrie!F22</f>
        <v>2015.6706570984838</v>
      </c>
      <c r="H43" s="930">
        <f>industrie!G22</f>
        <v>0</v>
      </c>
      <c r="I43" s="930">
        <f>industrie!H22</f>
        <v>0</v>
      </c>
      <c r="J43" s="930">
        <f>industrie!I22</f>
        <v>0</v>
      </c>
      <c r="K43" s="930">
        <f>industrie!J22</f>
        <v>421.62222562823706</v>
      </c>
      <c r="L43" s="930">
        <f>industrie!K22</f>
        <v>0</v>
      </c>
      <c r="M43" s="930">
        <f>industrie!L22</f>
        <v>0</v>
      </c>
      <c r="N43" s="930">
        <f>industrie!M22</f>
        <v>0</v>
      </c>
      <c r="O43" s="930">
        <f>industrie!N22</f>
        <v>0</v>
      </c>
      <c r="P43" s="930">
        <f>industrie!O22</f>
        <v>0</v>
      </c>
      <c r="Q43" s="702">
        <f>industrie!P22</f>
        <v>0</v>
      </c>
      <c r="R43" s="776">
        <f t="shared" ca="1" si="4"/>
        <v>16133.117445713895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25240.933572910035</v>
      </c>
      <c r="D46" s="660">
        <f t="shared" ref="D46:Q46" ca="1" si="5">SUM(D39:D45)</f>
        <v>0</v>
      </c>
      <c r="E46" s="660">
        <f t="shared" ca="1" si="5"/>
        <v>38888.961452704003</v>
      </c>
      <c r="F46" s="660">
        <f t="shared" si="5"/>
        <v>1525.9501368936121</v>
      </c>
      <c r="G46" s="660">
        <f t="shared" ca="1" si="5"/>
        <v>37843.060169083168</v>
      </c>
      <c r="H46" s="660">
        <f t="shared" si="5"/>
        <v>0</v>
      </c>
      <c r="I46" s="660">
        <f t="shared" si="5"/>
        <v>0</v>
      </c>
      <c r="J46" s="660">
        <f t="shared" si="5"/>
        <v>0</v>
      </c>
      <c r="K46" s="660">
        <f t="shared" si="5"/>
        <v>1229.032215765058</v>
      </c>
      <c r="L46" s="660">
        <f t="shared" si="5"/>
        <v>0</v>
      </c>
      <c r="M46" s="660">
        <f t="shared" ca="1" si="5"/>
        <v>0</v>
      </c>
      <c r="N46" s="660">
        <f t="shared" si="5"/>
        <v>0</v>
      </c>
      <c r="O46" s="660">
        <f t="shared" ca="1" si="5"/>
        <v>0</v>
      </c>
      <c r="P46" s="660">
        <f t="shared" si="5"/>
        <v>0</v>
      </c>
      <c r="Q46" s="660">
        <f t="shared" si="5"/>
        <v>0</v>
      </c>
      <c r="R46" s="660">
        <f ca="1">SUM(R39:R45)</f>
        <v>104727.93754735589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2.9775377626076582</v>
      </c>
      <c r="D49" s="930">
        <f ca="1">transport!C58</f>
        <v>0</v>
      </c>
      <c r="E49" s="930">
        <f>transport!D58</f>
        <v>0</v>
      </c>
      <c r="F49" s="930">
        <f>transport!E58</f>
        <v>0</v>
      </c>
      <c r="G49" s="930">
        <f>transport!F58</f>
        <v>0</v>
      </c>
      <c r="H49" s="930">
        <f>transport!G58</f>
        <v>908.03520639494741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911.01274415755506</v>
      </c>
    </row>
    <row r="50" spans="1:18">
      <c r="A50" s="752" t="s">
        <v>296</v>
      </c>
      <c r="B50" s="762"/>
      <c r="C50" s="631">
        <f ca="1">transport!B18</f>
        <v>11.284321362380009</v>
      </c>
      <c r="D50" s="631">
        <f>transport!C18</f>
        <v>0</v>
      </c>
      <c r="E50" s="631">
        <f>transport!D18</f>
        <v>24.510857050814224</v>
      </c>
      <c r="F50" s="631">
        <f>transport!E18</f>
        <v>131.62541198243986</v>
      </c>
      <c r="G50" s="631">
        <f>transport!F18</f>
        <v>0</v>
      </c>
      <c r="H50" s="631">
        <f>transport!G18</f>
        <v>56897.695987194216</v>
      </c>
      <c r="I50" s="631">
        <f>transport!H18</f>
        <v>10526.992909050934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67592.10948664078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14.261859124987668</v>
      </c>
      <c r="D52" s="660">
        <f t="shared" ref="D52:Q52" ca="1" si="6">SUM(D48:D51)</f>
        <v>0</v>
      </c>
      <c r="E52" s="660">
        <f t="shared" si="6"/>
        <v>24.510857050814224</v>
      </c>
      <c r="F52" s="660">
        <f t="shared" si="6"/>
        <v>131.62541198243986</v>
      </c>
      <c r="G52" s="660">
        <f t="shared" si="6"/>
        <v>0</v>
      </c>
      <c r="H52" s="660">
        <f t="shared" si="6"/>
        <v>57805.731193589163</v>
      </c>
      <c r="I52" s="660">
        <f t="shared" si="6"/>
        <v>10526.992909050934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68503.122230798341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98.721592657902903</v>
      </c>
      <c r="D54" s="631">
        <f ca="1">+landbouw!C12</f>
        <v>0</v>
      </c>
      <c r="E54" s="631">
        <f>+landbouw!D12</f>
        <v>81.223081324000006</v>
      </c>
      <c r="F54" s="631">
        <f>+landbouw!E12</f>
        <v>2.8439305549864833</v>
      </c>
      <c r="G54" s="631">
        <f>+landbouw!F12</f>
        <v>615.74832360848563</v>
      </c>
      <c r="H54" s="631">
        <f>+landbouw!G12</f>
        <v>0</v>
      </c>
      <c r="I54" s="631">
        <f>+landbouw!H12</f>
        <v>0</v>
      </c>
      <c r="J54" s="631">
        <f>+landbouw!I12</f>
        <v>0</v>
      </c>
      <c r="K54" s="631">
        <f>+landbouw!J12</f>
        <v>53.155410380588719</v>
      </c>
      <c r="L54" s="631">
        <f>+landbouw!K12</f>
        <v>0</v>
      </c>
      <c r="M54" s="631">
        <f>+landbouw!L12</f>
        <v>0</v>
      </c>
      <c r="N54" s="631">
        <f>+landbouw!M12</f>
        <v>0</v>
      </c>
      <c r="O54" s="631">
        <f>+landbouw!N12</f>
        <v>0</v>
      </c>
      <c r="P54" s="631">
        <f>+landbouw!O12</f>
        <v>0</v>
      </c>
      <c r="Q54" s="632">
        <f>+landbouw!P12</f>
        <v>0</v>
      </c>
      <c r="R54" s="659">
        <f ca="1">SUM(C54:Q54)</f>
        <v>851.69233852596369</v>
      </c>
    </row>
    <row r="55" spans="1:18" ht="15" thickBot="1">
      <c r="A55" s="752" t="s">
        <v>788</v>
      </c>
      <c r="B55" s="762"/>
      <c r="C55" s="631">
        <f ca="1">C25*'EF ele_warmte'!B12</f>
        <v>205.15892944284863</v>
      </c>
      <c r="D55" s="631"/>
      <c r="E55" s="631">
        <f>E25*EF_CO2_aardgas</f>
        <v>359.77189800000002</v>
      </c>
      <c r="F55" s="631"/>
      <c r="G55" s="631"/>
      <c r="H55" s="631"/>
      <c r="I55" s="631"/>
      <c r="J55" s="631"/>
      <c r="K55" s="631"/>
      <c r="L55" s="631"/>
      <c r="M55" s="631"/>
      <c r="N55" s="631"/>
      <c r="O55" s="631"/>
      <c r="P55" s="631"/>
      <c r="Q55" s="632"/>
      <c r="R55" s="659">
        <f ca="1">SUM(C55:Q55)</f>
        <v>564.93082744284868</v>
      </c>
    </row>
    <row r="56" spans="1:18" ht="15.75" thickBot="1">
      <c r="A56" s="750" t="s">
        <v>789</v>
      </c>
      <c r="B56" s="763"/>
      <c r="C56" s="660">
        <f ca="1">SUM(C54:C55)</f>
        <v>303.88052210075153</v>
      </c>
      <c r="D56" s="660">
        <f t="shared" ref="D56:Q56" ca="1" si="7">SUM(D54:D55)</f>
        <v>0</v>
      </c>
      <c r="E56" s="660">
        <f t="shared" si="7"/>
        <v>440.99497932400004</v>
      </c>
      <c r="F56" s="660">
        <f t="shared" si="7"/>
        <v>2.8439305549864833</v>
      </c>
      <c r="G56" s="660">
        <f t="shared" si="7"/>
        <v>615.74832360848563</v>
      </c>
      <c r="H56" s="660">
        <f t="shared" si="7"/>
        <v>0</v>
      </c>
      <c r="I56" s="660">
        <f t="shared" si="7"/>
        <v>0</v>
      </c>
      <c r="J56" s="660">
        <f t="shared" si="7"/>
        <v>0</v>
      </c>
      <c r="K56" s="660">
        <f t="shared" si="7"/>
        <v>53.155410380588719</v>
      </c>
      <c r="L56" s="660">
        <f t="shared" si="7"/>
        <v>0</v>
      </c>
      <c r="M56" s="660">
        <f t="shared" si="7"/>
        <v>0</v>
      </c>
      <c r="N56" s="660">
        <f t="shared" si="7"/>
        <v>0</v>
      </c>
      <c r="O56" s="660">
        <f t="shared" si="7"/>
        <v>0</v>
      </c>
      <c r="P56" s="660">
        <f t="shared" si="7"/>
        <v>0</v>
      </c>
      <c r="Q56" s="661">
        <f t="shared" si="7"/>
        <v>0</v>
      </c>
      <c r="R56" s="662">
        <f ca="1">SUM(R54:R55)</f>
        <v>1416.6231659688124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25559.075954135777</v>
      </c>
      <c r="D61" s="668">
        <f t="shared" ref="D61:Q61" ca="1" si="8">D46+D52+D56</f>
        <v>0</v>
      </c>
      <c r="E61" s="668">
        <f t="shared" ca="1" si="8"/>
        <v>39354.467289078821</v>
      </c>
      <c r="F61" s="668">
        <f t="shared" si="8"/>
        <v>1660.4194794310383</v>
      </c>
      <c r="G61" s="668">
        <f t="shared" ca="1" si="8"/>
        <v>38458.808492691656</v>
      </c>
      <c r="H61" s="668">
        <f t="shared" si="8"/>
        <v>57805.731193589163</v>
      </c>
      <c r="I61" s="668">
        <f t="shared" si="8"/>
        <v>10526.992909050934</v>
      </c>
      <c r="J61" s="668">
        <f t="shared" si="8"/>
        <v>0</v>
      </c>
      <c r="K61" s="668">
        <f t="shared" si="8"/>
        <v>1282.1876261456468</v>
      </c>
      <c r="L61" s="668">
        <f t="shared" si="8"/>
        <v>0</v>
      </c>
      <c r="M61" s="668">
        <f t="shared" ca="1" si="8"/>
        <v>0</v>
      </c>
      <c r="N61" s="668">
        <f t="shared" si="8"/>
        <v>0</v>
      </c>
      <c r="O61" s="668">
        <f t="shared" ca="1" si="8"/>
        <v>0</v>
      </c>
      <c r="P61" s="668">
        <f t="shared" si="8"/>
        <v>0</v>
      </c>
      <c r="Q61" s="668">
        <f t="shared" si="8"/>
        <v>0</v>
      </c>
      <c r="R61" s="668">
        <f ca="1">R46+R52+R56</f>
        <v>174647.68294412305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0.15610699079518547</v>
      </c>
      <c r="D63" s="709">
        <f t="shared" ca="1" si="9"/>
        <v>0</v>
      </c>
      <c r="E63" s="941">
        <f t="shared" ca="1" si="9"/>
        <v>0.20200000000000007</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29632.701756375016</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18443.31041144771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48076.01216782273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71884.50204609122</v>
      </c>
      <c r="C4" s="441">
        <f>huishoudens!C8</f>
        <v>0</v>
      </c>
      <c r="D4" s="441">
        <f>huishoudens!D8</f>
        <v>121040.69240999999</v>
      </c>
      <c r="E4" s="441">
        <f>huishoudens!E8</f>
        <v>4548.7806491103165</v>
      </c>
      <c r="F4" s="441">
        <f>huishoudens!F8</f>
        <v>123672.34212188347</v>
      </c>
      <c r="G4" s="441">
        <f>huishoudens!G8</f>
        <v>0</v>
      </c>
      <c r="H4" s="441">
        <f>huishoudens!H8</f>
        <v>0</v>
      </c>
      <c r="I4" s="441">
        <f>huishoudens!I8</f>
        <v>0</v>
      </c>
      <c r="J4" s="441">
        <f>huishoudens!J8</f>
        <v>2280.7388829556357</v>
      </c>
      <c r="K4" s="441">
        <f>huishoudens!K8</f>
        <v>0</v>
      </c>
      <c r="L4" s="441">
        <f>huishoudens!L8</f>
        <v>0</v>
      </c>
      <c r="M4" s="441">
        <f>huishoudens!M8</f>
        <v>0</v>
      </c>
      <c r="N4" s="441">
        <f>huishoudens!N8</f>
        <v>23535.698061873081</v>
      </c>
      <c r="O4" s="441">
        <f>huishoudens!O8</f>
        <v>1033.3633333333335</v>
      </c>
      <c r="P4" s="442">
        <f>huishoudens!P8</f>
        <v>2097.3333333333335</v>
      </c>
      <c r="Q4" s="443">
        <f>SUM(B4:P4)</f>
        <v>350093.45083858038</v>
      </c>
    </row>
    <row r="5" spans="1:17">
      <c r="A5" s="440" t="s">
        <v>149</v>
      </c>
      <c r="B5" s="441">
        <f ca="1">tertiair!B16</f>
        <v>47850.92</v>
      </c>
      <c r="C5" s="441">
        <f ca="1">tertiair!C16</f>
        <v>0</v>
      </c>
      <c r="D5" s="441">
        <f ca="1">tertiair!D16</f>
        <v>36160.394358000005</v>
      </c>
      <c r="E5" s="441">
        <f>tertiair!E16</f>
        <v>730.32422349549813</v>
      </c>
      <c r="F5" s="441">
        <f ca="1">tertiair!F16</f>
        <v>10512.637323752047</v>
      </c>
      <c r="G5" s="441">
        <f>tertiair!G16</f>
        <v>0</v>
      </c>
      <c r="H5" s="441">
        <f>tertiair!H16</f>
        <v>0</v>
      </c>
      <c r="I5" s="441">
        <f>tertiair!I16</f>
        <v>0</v>
      </c>
      <c r="J5" s="441">
        <f>tertiair!J16</f>
        <v>8.0298221825270716E-2</v>
      </c>
      <c r="K5" s="441">
        <f>tertiair!K16</f>
        <v>0</v>
      </c>
      <c r="L5" s="441">
        <f ca="1">tertiair!L16</f>
        <v>0</v>
      </c>
      <c r="M5" s="441">
        <f>tertiair!M16</f>
        <v>0</v>
      </c>
      <c r="N5" s="441">
        <f ca="1">tertiair!N16</f>
        <v>2873.0113546937364</v>
      </c>
      <c r="O5" s="441">
        <f>tertiair!O16</f>
        <v>4.6900000000000004</v>
      </c>
      <c r="P5" s="442">
        <f>tertiair!P16</f>
        <v>38.133333333333333</v>
      </c>
      <c r="Q5" s="440">
        <f t="shared" ref="Q5:Q14" ca="1" si="0">SUM(B5:P5)</f>
        <v>98170.190891496444</v>
      </c>
    </row>
    <row r="6" spans="1:17">
      <c r="A6" s="440" t="s">
        <v>187</v>
      </c>
      <c r="B6" s="441">
        <f>'openbare verlichting'!B8</f>
        <v>2021.1</v>
      </c>
      <c r="C6" s="441"/>
      <c r="D6" s="441"/>
      <c r="E6" s="441"/>
      <c r="F6" s="441"/>
      <c r="G6" s="441"/>
      <c r="H6" s="441"/>
      <c r="I6" s="441"/>
      <c r="J6" s="441"/>
      <c r="K6" s="441"/>
      <c r="L6" s="441"/>
      <c r="M6" s="441"/>
      <c r="N6" s="441"/>
      <c r="O6" s="441"/>
      <c r="P6" s="442"/>
      <c r="Q6" s="440">
        <f t="shared" si="0"/>
        <v>2021.1</v>
      </c>
    </row>
    <row r="7" spans="1:17">
      <c r="A7" s="440" t="s">
        <v>105</v>
      </c>
      <c r="B7" s="441">
        <f>landbouw!B8</f>
        <v>632.39700000000005</v>
      </c>
      <c r="C7" s="441">
        <f>landbouw!C8</f>
        <v>0</v>
      </c>
      <c r="D7" s="441">
        <f>landbouw!D8</f>
        <v>402.09446200000002</v>
      </c>
      <c r="E7" s="441">
        <f>landbouw!E8</f>
        <v>12.528328436063802</v>
      </c>
      <c r="F7" s="441">
        <f>landbouw!F8</f>
        <v>2306.1734966609947</v>
      </c>
      <c r="G7" s="441">
        <f>landbouw!G8</f>
        <v>0</v>
      </c>
      <c r="H7" s="441">
        <f>landbouw!H8</f>
        <v>0</v>
      </c>
      <c r="I7" s="441">
        <f>landbouw!I8</f>
        <v>0</v>
      </c>
      <c r="J7" s="441">
        <f>landbouw!J8</f>
        <v>150.15652649883819</v>
      </c>
      <c r="K7" s="441">
        <f>landbouw!K8</f>
        <v>0</v>
      </c>
      <c r="L7" s="441">
        <f>landbouw!L8</f>
        <v>0</v>
      </c>
      <c r="M7" s="441">
        <f>landbouw!M8</f>
        <v>0</v>
      </c>
      <c r="N7" s="441">
        <f>landbouw!N8</f>
        <v>0</v>
      </c>
      <c r="O7" s="441">
        <f>landbouw!O8</f>
        <v>0</v>
      </c>
      <c r="P7" s="442">
        <f>landbouw!P8</f>
        <v>0</v>
      </c>
      <c r="Q7" s="440">
        <f t="shared" si="0"/>
        <v>3503.3498135958966</v>
      </c>
    </row>
    <row r="8" spans="1:17">
      <c r="A8" s="440" t="s">
        <v>600</v>
      </c>
      <c r="B8" s="441">
        <f>industrie!B18</f>
        <v>39933.440999999999</v>
      </c>
      <c r="C8" s="441">
        <f>industrie!C18</f>
        <v>0</v>
      </c>
      <c r="D8" s="441">
        <f>industrie!D18</f>
        <v>35318.524384000004</v>
      </c>
      <c r="E8" s="441">
        <f>industrie!E18</f>
        <v>1443.1424264849866</v>
      </c>
      <c r="F8" s="441">
        <f>industrie!F18</f>
        <v>7549.3283037396395</v>
      </c>
      <c r="G8" s="441">
        <f>industrie!G18</f>
        <v>0</v>
      </c>
      <c r="H8" s="441">
        <f>industrie!H18</f>
        <v>0</v>
      </c>
      <c r="I8" s="441">
        <f>industrie!I18</f>
        <v>0</v>
      </c>
      <c r="J8" s="441">
        <f>industrie!J18</f>
        <v>1191.0232362379579</v>
      </c>
      <c r="K8" s="441">
        <f>industrie!K18</f>
        <v>0</v>
      </c>
      <c r="L8" s="441">
        <f>industrie!L18</f>
        <v>0</v>
      </c>
      <c r="M8" s="441">
        <f>industrie!M18</f>
        <v>0</v>
      </c>
      <c r="N8" s="441">
        <f>industrie!N18</f>
        <v>8004.1401612788959</v>
      </c>
      <c r="O8" s="441">
        <f>industrie!O18</f>
        <v>0</v>
      </c>
      <c r="P8" s="442">
        <f>industrie!P18</f>
        <v>0</v>
      </c>
      <c r="Q8" s="440">
        <f t="shared" si="0"/>
        <v>93439.599511741486</v>
      </c>
    </row>
    <row r="9" spans="1:17" s="446" customFormat="1">
      <c r="A9" s="444" t="s">
        <v>549</v>
      </c>
      <c r="B9" s="445">
        <f>transport!B14</f>
        <v>72.285816957327654</v>
      </c>
      <c r="C9" s="445">
        <f>transport!C14</f>
        <v>0</v>
      </c>
      <c r="D9" s="445">
        <f>transport!D14</f>
        <v>121.34087648917931</v>
      </c>
      <c r="E9" s="445">
        <f>transport!E14</f>
        <v>579.84762987858971</v>
      </c>
      <c r="F9" s="445">
        <f>transport!F14</f>
        <v>0</v>
      </c>
      <c r="G9" s="445">
        <f>transport!G14</f>
        <v>213099.98497076484</v>
      </c>
      <c r="H9" s="445">
        <f>transport!H14</f>
        <v>42277.079956027846</v>
      </c>
      <c r="I9" s="445">
        <f>transport!I14</f>
        <v>0</v>
      </c>
      <c r="J9" s="445">
        <f>transport!J14</f>
        <v>0</v>
      </c>
      <c r="K9" s="445">
        <f>transport!K14</f>
        <v>0</v>
      </c>
      <c r="L9" s="445">
        <f>transport!L14</f>
        <v>0</v>
      </c>
      <c r="M9" s="445">
        <f>transport!M14</f>
        <v>7971.1589241278743</v>
      </c>
      <c r="N9" s="445">
        <f>transport!N14</f>
        <v>0</v>
      </c>
      <c r="O9" s="445">
        <f>transport!O14</f>
        <v>0</v>
      </c>
      <c r="P9" s="445">
        <f>transport!P14</f>
        <v>0</v>
      </c>
      <c r="Q9" s="444">
        <f>SUM(B9:P9)</f>
        <v>264121.69817424566</v>
      </c>
    </row>
    <row r="10" spans="1:17">
      <c r="A10" s="440" t="s">
        <v>539</v>
      </c>
      <c r="B10" s="441">
        <f>transport!B54</f>
        <v>19.07369905371009</v>
      </c>
      <c r="C10" s="441">
        <f>transport!C54</f>
        <v>0</v>
      </c>
      <c r="D10" s="441">
        <f>transport!D54</f>
        <v>0</v>
      </c>
      <c r="E10" s="441">
        <f>transport!E54</f>
        <v>0</v>
      </c>
      <c r="F10" s="441">
        <f>transport!F54</f>
        <v>0</v>
      </c>
      <c r="G10" s="441">
        <f>transport!G54</f>
        <v>3400.8809228275181</v>
      </c>
      <c r="H10" s="441">
        <f>transport!H54</f>
        <v>0</v>
      </c>
      <c r="I10" s="441">
        <f>transport!I54</f>
        <v>0</v>
      </c>
      <c r="J10" s="441">
        <f>transport!J54</f>
        <v>0</v>
      </c>
      <c r="K10" s="441">
        <f>transport!K54</f>
        <v>0</v>
      </c>
      <c r="L10" s="441">
        <f>transport!L54</f>
        <v>0</v>
      </c>
      <c r="M10" s="441">
        <f>transport!M54</f>
        <v>106.16232524192931</v>
      </c>
      <c r="N10" s="441">
        <f>transport!N54</f>
        <v>0</v>
      </c>
      <c r="O10" s="441">
        <f>transport!O54</f>
        <v>0</v>
      </c>
      <c r="P10" s="442">
        <f>transport!P54</f>
        <v>0</v>
      </c>
      <c r="Q10" s="440">
        <f t="shared" si="0"/>
        <v>3526.1169471231578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1314.22</v>
      </c>
      <c r="C14" s="448"/>
      <c r="D14" s="448">
        <f>'SEAP template'!E25</f>
        <v>1781.049</v>
      </c>
      <c r="E14" s="448"/>
      <c r="F14" s="448"/>
      <c r="G14" s="448"/>
      <c r="H14" s="448"/>
      <c r="I14" s="448"/>
      <c r="J14" s="448"/>
      <c r="K14" s="448"/>
      <c r="L14" s="448"/>
      <c r="M14" s="448"/>
      <c r="N14" s="448"/>
      <c r="O14" s="448"/>
      <c r="P14" s="449"/>
      <c r="Q14" s="440">
        <f t="shared" si="0"/>
        <v>3095.2690000000002</v>
      </c>
    </row>
    <row r="15" spans="1:17" s="450" customFormat="1">
      <c r="A15" s="956" t="s">
        <v>543</v>
      </c>
      <c r="B15" s="896">
        <f ca="1">SUM(B4:B14)</f>
        <v>163727.93956210226</v>
      </c>
      <c r="C15" s="896">
        <f t="shared" ref="C15:Q15" ca="1" si="1">SUM(C4:C14)</f>
        <v>0</v>
      </c>
      <c r="D15" s="896">
        <f t="shared" ca="1" si="1"/>
        <v>194824.09549048916</v>
      </c>
      <c r="E15" s="896">
        <f t="shared" si="1"/>
        <v>7314.6232574054548</v>
      </c>
      <c r="F15" s="896">
        <f t="shared" ca="1" si="1"/>
        <v>144040.48124603616</v>
      </c>
      <c r="G15" s="896">
        <f t="shared" si="1"/>
        <v>216500.86589359236</v>
      </c>
      <c r="H15" s="896">
        <f t="shared" si="1"/>
        <v>42277.079956027846</v>
      </c>
      <c r="I15" s="896">
        <f t="shared" si="1"/>
        <v>0</v>
      </c>
      <c r="J15" s="896">
        <f t="shared" si="1"/>
        <v>3621.9989439142569</v>
      </c>
      <c r="K15" s="896">
        <f t="shared" si="1"/>
        <v>0</v>
      </c>
      <c r="L15" s="896">
        <f t="shared" ca="1" si="1"/>
        <v>0</v>
      </c>
      <c r="M15" s="896">
        <f t="shared" si="1"/>
        <v>8077.3212493698038</v>
      </c>
      <c r="N15" s="896">
        <f t="shared" ca="1" si="1"/>
        <v>34412.849577845715</v>
      </c>
      <c r="O15" s="896">
        <f t="shared" si="1"/>
        <v>1038.0533333333335</v>
      </c>
      <c r="P15" s="896">
        <f t="shared" si="1"/>
        <v>2135.4666666666667</v>
      </c>
      <c r="Q15" s="896">
        <f t="shared" ca="1" si="1"/>
        <v>817970.77517678298</v>
      </c>
    </row>
    <row r="17" spans="1:17">
      <c r="A17" s="451" t="s">
        <v>544</v>
      </c>
      <c r="B17" s="714">
        <f ca="1">huishoudens!B10</f>
        <v>0.15610699079518545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11221.673299225651</v>
      </c>
      <c r="C22" s="441">
        <f t="shared" ref="C22:C32" ca="1" si="3">C4*$C$17</f>
        <v>0</v>
      </c>
      <c r="D22" s="441">
        <f t="shared" ref="D22:D32" si="4">D4*$D$17</f>
        <v>24450.21986682</v>
      </c>
      <c r="E22" s="441">
        <f t="shared" ref="E22:E32" si="5">E4*$E$17</f>
        <v>1032.5732073480419</v>
      </c>
      <c r="F22" s="441">
        <f t="shared" ref="F22:F32" si="6">F4*$F$17</f>
        <v>33020.515346542888</v>
      </c>
      <c r="G22" s="441">
        <f t="shared" ref="G22:G32" si="7">G4*$G$17</f>
        <v>0</v>
      </c>
      <c r="H22" s="441">
        <f t="shared" ref="H22:H32" si="8">H4*$H$17</f>
        <v>0</v>
      </c>
      <c r="I22" s="441">
        <f t="shared" ref="I22:I32" si="9">I4*$I$17</f>
        <v>0</v>
      </c>
      <c r="J22" s="441">
        <f t="shared" ref="J22:J32" si="10">J4*$J$17</f>
        <v>807.38156456629497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70532.363284502877</v>
      </c>
    </row>
    <row r="23" spans="1:17">
      <c r="A23" s="440" t="s">
        <v>149</v>
      </c>
      <c r="B23" s="441">
        <f t="shared" ca="1" si="2"/>
        <v>7469.8631279811552</v>
      </c>
      <c r="C23" s="441">
        <f t="shared" ca="1" si="3"/>
        <v>0</v>
      </c>
      <c r="D23" s="441">
        <f t="shared" ca="1" si="4"/>
        <v>7304.3996603160012</v>
      </c>
      <c r="E23" s="441">
        <f t="shared" si="5"/>
        <v>165.78359873347807</v>
      </c>
      <c r="F23" s="441">
        <f t="shared" ca="1" si="6"/>
        <v>2806.8741654417968</v>
      </c>
      <c r="G23" s="441">
        <f t="shared" si="7"/>
        <v>0</v>
      </c>
      <c r="H23" s="441">
        <f t="shared" si="8"/>
        <v>0</v>
      </c>
      <c r="I23" s="441">
        <f t="shared" si="9"/>
        <v>0</v>
      </c>
      <c r="J23" s="441">
        <f t="shared" si="10"/>
        <v>2.8425570526145832E-2</v>
      </c>
      <c r="K23" s="441">
        <f t="shared" si="11"/>
        <v>0</v>
      </c>
      <c r="L23" s="441">
        <f t="shared" ca="1" si="12"/>
        <v>0</v>
      </c>
      <c r="M23" s="441">
        <f t="shared" si="13"/>
        <v>0</v>
      </c>
      <c r="N23" s="441">
        <f t="shared" ca="1" si="14"/>
        <v>0</v>
      </c>
      <c r="O23" s="441">
        <f t="shared" si="15"/>
        <v>0</v>
      </c>
      <c r="P23" s="442">
        <f t="shared" si="16"/>
        <v>0</v>
      </c>
      <c r="Q23" s="440">
        <f t="shared" ref="Q23:Q32" ca="1" si="17">SUM(B23:P23)</f>
        <v>17746.948978042958</v>
      </c>
    </row>
    <row r="24" spans="1:17">
      <c r="A24" s="440" t="s">
        <v>187</v>
      </c>
      <c r="B24" s="441">
        <f t="shared" ca="1" si="2"/>
        <v>315.50783909614927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315.50783909614927</v>
      </c>
    </row>
    <row r="25" spans="1:17">
      <c r="A25" s="440" t="s">
        <v>105</v>
      </c>
      <c r="B25" s="441">
        <f t="shared" ca="1" si="2"/>
        <v>98.721592657902903</v>
      </c>
      <c r="C25" s="441">
        <f t="shared" ca="1" si="3"/>
        <v>0</v>
      </c>
      <c r="D25" s="441">
        <f t="shared" si="4"/>
        <v>81.223081324000006</v>
      </c>
      <c r="E25" s="441">
        <f t="shared" si="5"/>
        <v>2.8439305549864833</v>
      </c>
      <c r="F25" s="441">
        <f t="shared" si="6"/>
        <v>615.74832360848563</v>
      </c>
      <c r="G25" s="441">
        <f t="shared" si="7"/>
        <v>0</v>
      </c>
      <c r="H25" s="441">
        <f t="shared" si="8"/>
        <v>0</v>
      </c>
      <c r="I25" s="441">
        <f t="shared" si="9"/>
        <v>0</v>
      </c>
      <c r="J25" s="441">
        <f t="shared" si="10"/>
        <v>53.155410380588719</v>
      </c>
      <c r="K25" s="441">
        <f t="shared" si="11"/>
        <v>0</v>
      </c>
      <c r="L25" s="441">
        <f t="shared" si="12"/>
        <v>0</v>
      </c>
      <c r="M25" s="441">
        <f t="shared" si="13"/>
        <v>0</v>
      </c>
      <c r="N25" s="441">
        <f t="shared" si="14"/>
        <v>0</v>
      </c>
      <c r="O25" s="441">
        <f t="shared" si="15"/>
        <v>0</v>
      </c>
      <c r="P25" s="442">
        <f t="shared" si="16"/>
        <v>0</v>
      </c>
      <c r="Q25" s="440">
        <f t="shared" ca="1" si="17"/>
        <v>851.69233852596369</v>
      </c>
    </row>
    <row r="26" spans="1:17">
      <c r="A26" s="440" t="s">
        <v>600</v>
      </c>
      <c r="B26" s="441">
        <f t="shared" ca="1" si="2"/>
        <v>6233.8893066070814</v>
      </c>
      <c r="C26" s="441">
        <f t="shared" ca="1" si="3"/>
        <v>0</v>
      </c>
      <c r="D26" s="441">
        <f t="shared" si="4"/>
        <v>7134.341925568001</v>
      </c>
      <c r="E26" s="441">
        <f t="shared" si="5"/>
        <v>327.59333081209195</v>
      </c>
      <c r="F26" s="441">
        <f t="shared" si="6"/>
        <v>2015.6706570984838</v>
      </c>
      <c r="G26" s="441">
        <f t="shared" si="7"/>
        <v>0</v>
      </c>
      <c r="H26" s="441">
        <f t="shared" si="8"/>
        <v>0</v>
      </c>
      <c r="I26" s="441">
        <f t="shared" si="9"/>
        <v>0</v>
      </c>
      <c r="J26" s="441">
        <f t="shared" si="10"/>
        <v>421.62222562823706</v>
      </c>
      <c r="K26" s="441">
        <f t="shared" si="11"/>
        <v>0</v>
      </c>
      <c r="L26" s="441">
        <f t="shared" si="12"/>
        <v>0</v>
      </c>
      <c r="M26" s="441">
        <f t="shared" si="13"/>
        <v>0</v>
      </c>
      <c r="N26" s="441">
        <f t="shared" si="14"/>
        <v>0</v>
      </c>
      <c r="O26" s="441">
        <f t="shared" si="15"/>
        <v>0</v>
      </c>
      <c r="P26" s="442">
        <f t="shared" si="16"/>
        <v>0</v>
      </c>
      <c r="Q26" s="440">
        <f t="shared" ca="1" si="17"/>
        <v>16133.117445713895</v>
      </c>
    </row>
    <row r="27" spans="1:17" s="446" customFormat="1">
      <c r="A27" s="444" t="s">
        <v>549</v>
      </c>
      <c r="B27" s="708">
        <f t="shared" ca="1" si="2"/>
        <v>11.284321362380009</v>
      </c>
      <c r="C27" s="445">
        <f t="shared" ca="1" si="3"/>
        <v>0</v>
      </c>
      <c r="D27" s="445">
        <f t="shared" si="4"/>
        <v>24.510857050814224</v>
      </c>
      <c r="E27" s="445">
        <f t="shared" si="5"/>
        <v>131.62541198243986</v>
      </c>
      <c r="F27" s="445">
        <f t="shared" si="6"/>
        <v>0</v>
      </c>
      <c r="G27" s="445">
        <f t="shared" si="7"/>
        <v>56897.695987194216</v>
      </c>
      <c r="H27" s="445">
        <f t="shared" si="8"/>
        <v>10526.992909050934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67592.10948664078</v>
      </c>
    </row>
    <row r="28" spans="1:17">
      <c r="A28" s="440" t="s">
        <v>539</v>
      </c>
      <c r="B28" s="441">
        <f t="shared" ca="1" si="2"/>
        <v>2.9775377626076582</v>
      </c>
      <c r="C28" s="441">
        <f t="shared" ca="1" si="3"/>
        <v>0</v>
      </c>
      <c r="D28" s="441">
        <f t="shared" si="4"/>
        <v>0</v>
      </c>
      <c r="E28" s="441">
        <f t="shared" si="5"/>
        <v>0</v>
      </c>
      <c r="F28" s="441">
        <f t="shared" si="6"/>
        <v>0</v>
      </c>
      <c r="G28" s="441">
        <f t="shared" si="7"/>
        <v>908.03520639494741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911.01274415755506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205.15892944284863</v>
      </c>
      <c r="C32" s="441">
        <f t="shared" ca="1" si="3"/>
        <v>0</v>
      </c>
      <c r="D32" s="441">
        <f t="shared" si="4"/>
        <v>359.77189800000002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564.93082744284868</v>
      </c>
    </row>
    <row r="33" spans="1:17" s="450" customFormat="1">
      <c r="A33" s="956" t="s">
        <v>543</v>
      </c>
      <c r="B33" s="896">
        <f ca="1">SUM(B22:B32)</f>
        <v>25559.075954135777</v>
      </c>
      <c r="C33" s="896">
        <f t="shared" ref="C33:Q33" ca="1" si="18">SUM(C22:C32)</f>
        <v>0</v>
      </c>
      <c r="D33" s="896">
        <f t="shared" ca="1" si="18"/>
        <v>39354.467289078813</v>
      </c>
      <c r="E33" s="896">
        <f t="shared" si="18"/>
        <v>1660.4194794310383</v>
      </c>
      <c r="F33" s="896">
        <f t="shared" ca="1" si="18"/>
        <v>38458.808492691656</v>
      </c>
      <c r="G33" s="896">
        <f t="shared" si="18"/>
        <v>57805.731193589163</v>
      </c>
      <c r="H33" s="896">
        <f t="shared" si="18"/>
        <v>10526.992909050934</v>
      </c>
      <c r="I33" s="896">
        <f t="shared" si="18"/>
        <v>0</v>
      </c>
      <c r="J33" s="896">
        <f t="shared" si="18"/>
        <v>1282.1876261456468</v>
      </c>
      <c r="K33" s="896">
        <f t="shared" si="18"/>
        <v>0</v>
      </c>
      <c r="L33" s="896">
        <f t="shared" ca="1" si="18"/>
        <v>0</v>
      </c>
      <c r="M33" s="896">
        <f t="shared" si="18"/>
        <v>0</v>
      </c>
      <c r="N33" s="896">
        <f t="shared" ca="1" si="18"/>
        <v>0</v>
      </c>
      <c r="O33" s="896">
        <f t="shared" si="18"/>
        <v>0</v>
      </c>
      <c r="P33" s="896">
        <f t="shared" si="18"/>
        <v>0</v>
      </c>
      <c r="Q33" s="896">
        <f t="shared" ca="1" si="18"/>
        <v>174647.68294412302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29632.701756375016</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18443.31041144771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48076.01216782273</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0.15610699079518545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0.15610699079518545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2022-07-26T11:18:07Z</dcterms:modified>
</cp:coreProperties>
</file>