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99C120D-C107-4F23-BBB2-B6411D23F81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<sst xmlns="http://schemas.openxmlformats.org/spreadsheetml/2006/main" count="2416" uniqueCount="891">
  <si>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</si>
  <si>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</si>
  <si>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</si>
  <si>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</si>
  <si>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</si>
  <si>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</si>
  <si>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</si>
  <si>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</si>
  <si>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</si>
  <si>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</si>
  <si>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</si>
  <si>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</si>
  <si>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</si>
  <si>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</si>
  <si>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</si>
  <si>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</si>
  <si>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</si>
  <si>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</si>
  <si>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</si>
  <si>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</si>
  <si>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</si>
  <si>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</si>
  <si>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</si>
  <si>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</si>
  <si>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</si>
  <si>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</si>
  <si>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</si>
  <si>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</si>
  <si>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</si>
  <si>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</si>
  <si>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</si>
  <si>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</si>
  <si>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</si>
  <si>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</si>
  <si>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</si>
  <si>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</si>
  <si>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</si>
  <si>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</si>
  <si>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</si>
  <si>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</si>
  <si>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</si>
  <si>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</si>
  <si>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</si>
  <si>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</si>
  <si>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</si>
  <si>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</si>
  <si>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</si>
  <si>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</si>
  <si>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</si>
  <si>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</si>
  <si>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</si>
  <si>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</si>
  <si>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</si>
  <si>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</si>
  <si>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</si>
  <si>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</si>
  <si>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</si>
  <si>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</si>
  <si>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</si>
  <si>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</si>
  <si>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</si>
  <si>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</si>
  <si>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</si>
  <si>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</si>
  <si>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</si>
  <si>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</si>
  <si>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</si>
  <si>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</si>
  <si>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</si>
  <si>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</si>
  <si>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</si>
  <si>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</si>
  <si>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</si>
  <si>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</si>
  <si>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</si>
  <si>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</si>
  <si>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</si>
  <si>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</si>
  <si>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</si>
  <si>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</si>
  <si>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</si>
  <si>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</si>
  <si>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</si>
  <si>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</si>
  <si>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</si>
  <si>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</si>
  <si>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</si>
  <si>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</si>
  <si>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</si>
  <si>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</si>
  <si>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</si>
  <si>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</si>
  <si>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</si>
  <si>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</si>
  <si>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</si>
  <si>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</si>
  <si>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</si>
  <si>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</si>
  <si>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</si>
  <si>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</si>
  <si>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</si>
  <si>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</si>
  <si>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</si>
  <si>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</si>
  <si>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</si>
  <si>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</si>
  <si>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</si>
  <si>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</si>
  <si>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</si>
  <si>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</si>
  <si>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</si>
  <si>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</si>
  <si>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</si>
  <si>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</si>
  <si>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</si>
  <si>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</si>
  <si>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</si>
  <si>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</si>
  <si>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</si>
  <si>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</si>
  <si>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</si>
  <si>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</si>
  <si>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</si>
  <si>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</si>
  <si>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</si>
  <si>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</si>
  <si>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</si>
  <si>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</si>
  <si>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</si>
  <si>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</si>
  <si>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</si>
  <si>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</si>
  <si>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</si>
  <si>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</si>
  <si>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</si>
  <si>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</si>
  <si>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</si>
  <si>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</si>
  <si>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</si>
  <si>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</si>
  <si>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</si>
  <si>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</si>
  <si>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</si>
  <si>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</si>
  <si>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</si>
  <si>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</si>
  <si>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</si>
  <si>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</si>
  <si>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</si>
  <si>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</si>
  <si>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</si>
  <si>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</si>
  <si>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</si>
  <si>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</si>
  <si>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</si>
  <si>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</si>
  <si>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</si>
  <si>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</si>
  <si>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</si>
  <si>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</si>
  <si>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</si>
  <si>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</si>
  <si>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</si>
  <si>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</si>
  <si>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</si>
  <si>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</si>
  <si>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</si>
  <si>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</si>
  <si>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</si>
  <si>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</si>
  <si>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</si>
  <si>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</si>
  <si>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</si>
  <si>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</si>
  <si>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</si>
  <si>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</si>
  <si>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</si>
  <si>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</si>
  <si>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</si>
  <si>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</si>
  <si>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</si>
  <si>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</si>
  <si>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</si>
  <si>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</si>
  <si>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</si>
  <si>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</si>
  <si>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</si>
  <si>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</si>
  <si>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</si>
  <si>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</si>
  <si>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</si>
  <si>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</si>
  <si>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</si>
  <si>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</si>
  <si>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</si>
  <si>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</si>
  <si>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</si>
  <si>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</si>
  <si>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</si>
  <si>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</si>
  <si>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</si>
  <si>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</si>
  <si>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</si>
  <si>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</si>
  <si>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</si>
  <si>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</si>
  <si>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</si>
  <si>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</si>
  <si>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</si>
  <si>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</si>
  <si>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</si>
  <si>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</si>
  <si>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</si>
  <si>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</si>
  <si>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</si>
  <si>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</si>
  <si>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</si>
  <si>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</si>
  <si>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</si>
  <si>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</si>
  <si>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</si>
  <si>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</si>
  <si>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</si>
  <si>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</si>
  <si>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</si>
  <si>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</si>
  <si>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</si>
  <si>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</si>
  <si>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</si>
  <si>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</si>
  <si>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</si>
  <si>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</si>
  <si>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</si>
  <si>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</si>
  <si>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</si>
  <si>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</si>
  <si>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</si>
  <si>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</si>
  <si>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</si>
  <si>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</si>
  <si>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</si>
  <si>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</si>
  <si>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</si>
  <si>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</si>
  <si>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</si>
  <si>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</si>
  <si>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</si>
  <si>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</si>
  <si>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</si>
  <si>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</si>
  <si>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</si>
  <si>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</si>
  <si>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</si>
  <si>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</si>
  <si>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</si>
  <si>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</si>
  <si>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</si>
  <si>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</si>
  <si>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</si>
  <si>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</si>
  <si>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</si>
  <si>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</si>
  <si>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</si>
  <si>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</si>
  <si>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</si>
  <si>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</si>
  <si>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</si>
  <si>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</si>
  <si>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</si>
  <si>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</si>
  <si>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</si>
  <si>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</si>
  <si>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</si>
  <si>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</si>
  <si>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</si>
  <si>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</si>
  <si>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</si>
  <si>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</si>
  <si>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</si>
  <si>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</si>
  <si>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</si>
  <si>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</si>
  <si>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</si>
  <si>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</si>
  <si>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</si>
  <si>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</si>
  <si>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</si>
  <si>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</si>
  <si>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</si>
  <si>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</si>
  <si>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</si>
  <si>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</si>
  <si>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</si>
  <si>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</si>
  <si>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</si>
  <si>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</si>
  <si>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</si>
  <si>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</si>
  <si>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</si>
  <si>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</si>
  <si>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</si>
  <si>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</si>
  <si>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</si>
  <si>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</si>
  <si>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</si>
  <si>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</si>
  <si>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</si>
  <si>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</si>
  <si>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</si>
  <si>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</si>
  <si>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</si>
  <si>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</si>
  <si>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</si>
  <si>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</si>
  <si>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</si>
  <si>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</si>
  <si>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</si>
  <si>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</si>
  <si>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</si>
  <si>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</si>
  <si>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</si>
  <si>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</si>
  <si>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</si>
  <si>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</si>
  <si>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</si>
  <si>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</si>
  <si>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</si>
  <si>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</si>
  <si>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</si>
  <si>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</si>
  <si>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</si>
  <si>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</si>
  <si>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</si>
  <si>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</si>
  <si>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</si>
  <si>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</si>
  <si>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</si>
  <si>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</si>
  <si>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</si>
  <si>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</si>
  <si>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</si>
  <si>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</si>
  <si>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</si>
  <si>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</si>
  <si>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</si>
  <si>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</si>
  <si>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</si>
  <si>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</si>
  <si>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</si>
  <si>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</si>
  <si>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</si>
  <si>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</si>
  <si>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</si>
  <si>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</si>
  <si>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</si>
  <si>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</si>
  <si>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</si>
  <si>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</si>
  <si>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</si>
  <si>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</si>
  <si>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</si>
  <si>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</si>
  <si>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</si>
  <si>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</si>
  <si>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</si>
  <si>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</si>
  <si>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</si>
  <si>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</si>
  <si>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</si>
  <si>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</si>
  <si>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</si>
  <si>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</si>
  <si>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</si>
  <si>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</si>
  <si>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</si>
  <si>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</si>
  <si>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</si>
  <si>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</si>
  <si>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</si>
  <si>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</si>
  <si>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</si>
  <si>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</si>
  <si>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</si>
  <si>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</si>
  <si>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</si>
  <si>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</si>
  <si>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</si>
  <si>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</si>
  <si>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</si>
  <si>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</si>
  <si>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</si>
  <si>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</si>
  <si>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</si>
  <si>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</si>
  <si>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</si>
  <si>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</si>
  <si>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</si>
  <si>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</si>
  <si>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</si>
  <si>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</si>
  <si>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</si>
  <si>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</si>
  <si>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</si>
  <si>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</si>
  <si>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</si>
  <si>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</si>
  <si>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</si>
  <si>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</si>
  <si>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</si>
  <si>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</si>
  <si>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</si>
  <si>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</si>
  <si>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</si>
  <si>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</si>
  <si>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</si>
  <si>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</si>
  <si>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</si>
  <si>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</si>
  <si>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</si>
  <si>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</si>
  <si>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</si>
  <si>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</si>
  <si>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</si>
  <si>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</si>
  <si>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</si>
  <si>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</si>
  <si>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</si>
  <si>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</si>
  <si>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</si>
  <si>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</si>
  <si>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</si>
  <si>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</si>
  <si>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</si>
  <si>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</si>
  <si>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</si>
  <si>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</si>
  <si>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</si>
  <si>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</si>
  <si>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</si>
  <si>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</si>
  <si>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</si>
  <si>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</si>
  <si>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</si>
  <si>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</si>
  <si>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</si>
  <si>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</si>
  <si>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</si>
  <si>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</si>
  <si>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</si>
  <si>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</si>
  <si>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</si>
  <si>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</si>
  <si>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</si>
  <si>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</si>
  <si>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</si>
  <si>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</si>
  <si>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</si>
  <si>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</si>
  <si>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</si>
  <si>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</si>
  <si>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</si>
  <si>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</si>
  <si>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</si>
  <si>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</si>
  <si>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</si>
  <si>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</si>
  <si>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</si>
  <si>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</si>
  <si>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</si>
  <si>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</si>
  <si>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</si>
  <si>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</si>
  <si>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</si>
  <si>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</si>
  <si>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</si>
  <si>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</si>
  <si>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</si>
  <si>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</si>
  <si>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</si>
  <si>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</si>
  <si>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</si>
  <si>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</si>
  <si>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</si>
  <si>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</si>
  <si>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</si>
  <si>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</si>
  <si>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</si>
  <si>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</si>
  <si>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</si>
  <si>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</si>
  <si>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</si>
  <si>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</si>
  <si>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</si>
  <si>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</si>
  <si>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</si>
  <si>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</si>
  <si>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</si>
  <si>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</si>
  <si>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</si>
  <si>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</si>
  <si>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</si>
  <si>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</si>
  <si>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</si>
  <si>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</si>
  <si>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</si>
  <si>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</si>
  <si>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</si>
  <si>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</si>
  <si>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</si>
  <si>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</si>
  <si>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</si>
  <si>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</si>
  <si>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</si>
  <si>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</si>
  <si>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</si>
  <si>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</si>
  <si>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</si>
  <si>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</si>
  <si>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</si>
  <si>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</si>
  <si>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</si>
  <si>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</si>
  <si>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</si>
  <si>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</si>
  <si>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</si>
  <si>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</si>
  <si>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</si>
  <si>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</si>
  <si>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</si>
  <si>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</si>
  <si>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</si>
  <si>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</si>
  <si>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</si>
  <si>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</si>
  <si>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</si>
  <si>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</si>
  <si>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</si>
  <si>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</si>
  <si>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</si>
  <si>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</si>
  <si>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</si>
  <si>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</si>
  <si>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</si>
  <si>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</si>
  <si>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</si>
  <si>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</si>
  <si>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</si>
  <si>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</si>
  <si>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</si>
  <si>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</si>
  <si>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</si>
  <si>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</si>
  <si>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</si>
  <si>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</si>
  <si>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</si>
  <si>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</si>
  <si>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</si>
  <si>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</si>
  <si>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</si>
  <si>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</si>
  <si>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</si>
  <si>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</si>
  <si>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</si>
  <si>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</si>
  <si>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</si>
  <si>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</si>
  <si>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</si>
  <si>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</si>
  <si>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</si>
  <si>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</si>
  <si>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</si>
  <si>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</si>
  <si>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</si>
  <si>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</si>
  <si>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</si>
  <si>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</si>
  <si>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</si>
  <si>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</si>
  <si>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</si>
  <si>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</si>
  <si>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</si>
  <si>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</si>
  <si>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</si>
  <si>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</si>
  <si>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</si>
  <si>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</si>
  <si>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</si>
  <si>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</si>
  <si>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</si>
  <si>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</si>
  <si>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</si>
  <si>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</si>
  <si>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</si>
  <si>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</si>
  <si>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</si>
  <si>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</si>
  <si>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</si>
  <si>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</si>
  <si>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</si>
  <si>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</si>
  <si>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</si>
  <si>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</si>
  <si>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</si>
  <si>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</si>
  <si>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</si>
  <si>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</si>
  <si>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</si>
  <si>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</si>
  <si>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</si>
  <si>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</si>
  <si>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</si>
  <si>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</si>
  <si>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</si>
  <si>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</si>
  <si>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</si>
  <si>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</si>
  <si>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</si>
  <si>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</si>
  <si>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</si>
  <si>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</si>
  <si>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</si>
  <si>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</si>
  <si>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</si>
  <si>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</si>
  <si>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</si>
  <si>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</si>
  <si>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</si>
  <si>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</si>
  <si>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</si>
  <si>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</si>
  <si>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</si>
  <si>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</si>
  <si>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</si>
  <si>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</si>
  <si>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</si>
  <si>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</si>
  <si>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</si>
  <si>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</si>
  <si>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</si>
  <si>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</si>
  <si>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</si>
  <si>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</si>
  <si>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</si>
  <si>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</si>
  <si>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</si>
  <si>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</si>
  <si>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</si>
  <si>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</si>
  <si>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</si>
  <si>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</si>
  <si>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</si>
  <si>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</si>
  <si>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</si>
  <si>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</si>
  <si>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</si>
  <si>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</si>
  <si>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</si>
  <si>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</si>
  <si>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</si>
  <si>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</si>
  <si>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</si>
  <si>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</si>
  <si>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</si>
  <si>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</si>
  <si>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</si>
  <si>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</si>
  <si>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</si>
  <si>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</si>
  <si>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</si>
  <si>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</si>
  <si>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</si>
  <si>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</si>
  <si>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</si>
  <si>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</si>
  <si>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</si>
  <si>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</si>
  <si>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</si>
  <si>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</si>
  <si>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</si>
  <si>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</si>
  <si>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</si>
  <si>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</si>
  <si>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</si>
  <si>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</si>
  <si>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</si>
  <si>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</si>
  <si>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</si>
  <si>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</si>
  <si>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</si>
  <si>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</si>
  <si>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</si>
  <si>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</si>
  <si>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</si>
  <si>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</si>
  <si>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</si>
  <si>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</si>
  <si>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</si>
  <si>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</si>
  <si>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</si>
  <si>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</si>
  <si>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</si>
  <si>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</si>
  <si>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</si>
  <si>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</si>
  <si>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</si>
  <si>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</si>
  <si>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</si>
  <si>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</si>
  <si>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</si>
  <si>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</si>
  <si>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</si>
  <si>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</si>
  <si>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</si>
  <si>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</si>
  <si>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</si>
  <si>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</si>
  <si>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</si>
  <si>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</si>
  <si>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</si>
  <si>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</si>
  <si>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</si>
  <si>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</si>
  <si>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</si>
  <si>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</si>
  <si>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</si>
  <si>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</si>
  <si>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</si>
  <si>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</si>
  <si>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</si>
  <si>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</si>
  <si>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</si>
  <si>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</si>
  <si>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</si>
  <si>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</si>
  <si>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</si>
  <si>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</si>
  <si>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</si>
  <si>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</si>
  <si>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</si>
  <si>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</si>
  <si>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</si>
  <si>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</si>
  <si>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</si>
  <si>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</si>
  <si>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</si>
  <si>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</si>
  <si>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</si>
  <si>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</si>
  <si>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</si>
  <si>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</si>
  <si>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</si>
  <si>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</si>
  <si>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</si>
  <si>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</si>
  <si>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</si>
  <si>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</si>
  <si>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</si>
  <si>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</si>
  <si>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</si>
  <si>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</si>
  <si>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</si>
  <si>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</si>
  <si>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</si>
  <si>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</si>
  <si>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</si>
  <si>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</si>
  <si>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</si>
  <si>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</si>
  <si>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</si>
  <si>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</si>
  <si>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</si>
  <si>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</si>
  <si>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</si>
  <si>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</si>
  <si>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</si>
  <si>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</si>
  <si>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</si>
  <si>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</si>
  <si>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</si>
  <si>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</si>
  <si>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</si>
  <si>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</si>
  <si>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</si>
  <si>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</si>
  <si>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</si>
  <si>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</si>
  <si>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</si>
  <si>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</si>
  <si>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</si>
  <si>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</si>
  <si>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</si>
  <si>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</si>
  <si>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</si>
  <si>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</si>
  <si>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</si>
  <si>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</si>
  <si>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</si>
  <si>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</si>
  <si>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</si>
  <si>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</si>
  <si>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</si>
  <si>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</si>
  <si>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</si>
  <si>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</si>
  <si>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</si>
  <si>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</si>
  <si>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</si>
  <si>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</si>
  <si>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</si>
  <si>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</si>
  <si>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</si>
  <si>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</si>
  <si>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</si>
  <si>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</si>
  <si>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</si>
  <si>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</si>
  <si>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</si>
  <si>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</si>
  <si>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</si>
  <si>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</si>
  <si>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</si>
  <si>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</si>
  <si>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</si>
  <si>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</si>
  <si>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</si>
  <si>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</si>
  <si>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</si>
  <si>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</si>
  <si>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</si>
  <si>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</si>
  <si>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</si>
  <si>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</si>
  <si>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</si>
  <si>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</si>
  <si>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</si>
  <si>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</si>
  <si>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</si>
  <si>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</si>
  <si>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</si>
  <si>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</si>
  <si>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</si>
  <si>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</si>
  <si>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</si>
  <si>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</si>
  <si>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</si>
  <si>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</si>
  <si>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</si>
  <si>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</si>
  <si>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</si>
  <si>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</si>
  <si>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</si>
  <si>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</si>
  <si>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</si>
  <si>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</si>
  <si>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</si>
  <si>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</si>
  <si>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</si>
  <si>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</si>
  <si>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</si>
  <si>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</si>
  <si>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</si>
  <si>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</si>
  <si>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</si>
  <si>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</si>
  <si>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</si>
  <si>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</si>
  <si>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</si>
  <si>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</si>
  <si>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</si>
  <si>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</si>
  <si>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</si>
  <si>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</si>
  <si>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</si>
  <si>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</si>
  <si>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</si>
  <si>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</si>
  <si>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</si>
  <si>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</si>
  <si>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</si>
  <si>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</si>
  <si>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</si>
  <si>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</si>
  <si>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45041</t>
  </si>
  <si>
    <t>RONSE</t>
  </si>
  <si>
    <t>Paarden&amp;pony's 200 - 600 kg</t>
  </si>
  <si>
    <t>Paarden&amp;pony's &lt; 200 kg</t>
  </si>
  <si>
    <t>vloeibaar gas (MWh)</t>
  </si>
  <si>
    <t>stirlingmotor</t>
  </si>
  <si>
    <t>GASELWEST</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</si>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</sst>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6D90878-366F-4C8D-BE2A-2BF129EEEDB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193864.85089503636</c:v>
                </c:pt>
                <c:pt idx="1">
                  <c:v>88603.335879787905</c:v>
                </c:pt>
                <c:pt idx="2">
                  <c:v>1816.059</c:v>
                </c:pt>
                <c:pt idx="3">
                  <c:v>2023.1837682844111</c:v>
                </c:pt>
                <c:pt idx="4">
                  <c:v>162679.16366623875</c:v>
                </c:pt>
                <c:pt idx="5">
                  <c:v>114893.94364487316</c:v>
                </c:pt>
                <c:pt idx="6">
                  <c:v>774.42037581250918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193864.85089503636</c:v>
                </c:pt>
                <c:pt idx="1">
                  <c:v>88603.335879787905</c:v>
                </c:pt>
                <c:pt idx="2">
                  <c:v>1816.059</c:v>
                </c:pt>
                <c:pt idx="3">
                  <c:v>2023.1837682844111</c:v>
                </c:pt>
                <c:pt idx="4">
                  <c:v>162679.16366623875</c:v>
                </c:pt>
                <c:pt idx="5">
                  <c:v>114893.94364487316</c:v>
                </c:pt>
                <c:pt idx="6">
                  <c:v>774.42037581250918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39542.622831249377</c:v>
                </c:pt>
                <c:pt idx="2">
                  <c:v>18334.86529651126</c:v>
                </c:pt>
                <c:pt idx="3">
                  <c:v>380.31841058249466</c:v>
                </c:pt>
                <c:pt idx="4">
                  <c:v>520.23141751802473</c:v>
                </c:pt>
                <c:pt idx="5">
                  <c:v>33677.475487999225</c:v>
                </c:pt>
                <c:pt idx="6">
                  <c:v>29530.437701773964</c:v>
                </c:pt>
                <c:pt idx="7">
                  <c:v>200.30371272496637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39542.622831249377</c:v>
                </c:pt>
                <c:pt idx="2">
                  <c:v>18334.86529651126</c:v>
                </c:pt>
                <c:pt idx="3">
                  <c:v>380.31841058249466</c:v>
                </c:pt>
                <c:pt idx="4">
                  <c:v>520.23141751802473</c:v>
                </c:pt>
                <c:pt idx="5">
                  <c:v>33677.475487999225</c:v>
                </c:pt>
                <c:pt idx="6">
                  <c:v>29530.437701773964</c:v>
                </c:pt>
                <c:pt idx="7">
                  <c:v>200.30371272496637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45041</v>
      </c>
      <c r="B6" s="380"/>
      <c r="C6" s="381"/>
    </row>
    <row r="7" spans="1:7" s="378" customFormat="1" ht="15.75" customHeight="1">
      <c r="A7" s="382" t="str">
        <f>txtMunicipality</f>
        <v>RONSE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0.20941963371371453</v>
      </c>
      <c r="C17" s="488">
        <f ca="1">'EF ele_warmte'!B22</f>
        <v>0.23742128121606954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0.20941963371371453</v>
      </c>
      <c r="C29" s="489">
        <f ca="1">'EF ele_warmte'!B22</f>
        <v>0.23742128121606954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10562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1462.56</v>
      </c>
      <c r="C14" s="322"/>
      <c r="D14" s="322"/>
      <c r="E14" s="322"/>
      <c r="F14" s="322"/>
    </row>
    <row r="15" spans="1:6">
      <c r="A15" s="1248" t="s">
        <v>177</v>
      </c>
      <c r="B15" s="1249">
        <v>12</v>
      </c>
      <c r="C15" s="322"/>
      <c r="D15" s="322"/>
      <c r="E15" s="322"/>
      <c r="F15" s="322"/>
    </row>
    <row r="16" spans="1:6">
      <c r="A16" s="1248" t="s">
        <v>6</v>
      </c>
      <c r="B16" s="1249">
        <v>317</v>
      </c>
      <c r="C16" s="322"/>
      <c r="D16" s="322"/>
      <c r="E16" s="322"/>
      <c r="F16" s="322"/>
    </row>
    <row r="17" spans="1:6">
      <c r="A17" s="1248" t="s">
        <v>7</v>
      </c>
      <c r="B17" s="1249">
        <v>440</v>
      </c>
      <c r="C17" s="322"/>
      <c r="D17" s="322"/>
      <c r="E17" s="322"/>
      <c r="F17" s="322"/>
    </row>
    <row r="18" spans="1:6">
      <c r="A18" s="1248" t="s">
        <v>8</v>
      </c>
      <c r="B18" s="1249">
        <v>586</v>
      </c>
      <c r="C18" s="322"/>
      <c r="D18" s="322"/>
      <c r="E18" s="322"/>
      <c r="F18" s="322"/>
    </row>
    <row r="19" spans="1:6">
      <c r="A19" s="1248" t="s">
        <v>9</v>
      </c>
      <c r="B19" s="1249">
        <v>459</v>
      </c>
      <c r="C19" s="322"/>
      <c r="D19" s="322"/>
      <c r="E19" s="322"/>
      <c r="F19" s="322"/>
    </row>
    <row r="20" spans="1:6">
      <c r="A20" s="1248" t="s">
        <v>10</v>
      </c>
      <c r="B20" s="1249">
        <v>350</v>
      </c>
      <c r="C20" s="322"/>
      <c r="D20" s="322"/>
      <c r="E20" s="322"/>
      <c r="F20" s="322"/>
    </row>
    <row r="21" spans="1:6">
      <c r="A21" s="1248" t="s">
        <v>11</v>
      </c>
      <c r="B21" s="1249">
        <v>240</v>
      </c>
      <c r="C21" s="322"/>
      <c r="D21" s="322"/>
      <c r="E21" s="322"/>
      <c r="F21" s="322"/>
    </row>
    <row r="22" spans="1:6">
      <c r="A22" s="1248" t="s">
        <v>12</v>
      </c>
      <c r="B22" s="1249">
        <v>755</v>
      </c>
      <c r="C22" s="322"/>
      <c r="D22" s="322"/>
      <c r="E22" s="322"/>
      <c r="F22" s="322"/>
    </row>
    <row r="23" spans="1:6">
      <c r="A23" s="1248" t="s">
        <v>13</v>
      </c>
      <c r="B23" s="1249">
        <v>12</v>
      </c>
      <c r="C23" s="322"/>
      <c r="D23" s="322"/>
      <c r="E23" s="322"/>
      <c r="F23" s="322"/>
    </row>
    <row r="24" spans="1:6">
      <c r="A24" s="1248" t="s">
        <v>14</v>
      </c>
      <c r="B24" s="1249">
        <v>1</v>
      </c>
      <c r="C24" s="322"/>
      <c r="D24" s="322"/>
      <c r="E24" s="322"/>
      <c r="F24" s="322"/>
    </row>
    <row r="25" spans="1:6">
      <c r="A25" s="1248" t="s">
        <v>15</v>
      </c>
      <c r="B25" s="1249">
        <v>104</v>
      </c>
      <c r="C25" s="322"/>
      <c r="D25" s="322"/>
      <c r="E25" s="322"/>
      <c r="F25" s="322"/>
    </row>
    <row r="26" spans="1:6">
      <c r="A26" s="1248" t="s">
        <v>16</v>
      </c>
      <c r="B26" s="1249">
        <v>197</v>
      </c>
      <c r="C26" s="322"/>
      <c r="D26" s="322"/>
      <c r="E26" s="322"/>
      <c r="F26" s="322"/>
    </row>
    <row r="27" spans="1:6">
      <c r="A27" s="1248" t="s">
        <v>17</v>
      </c>
      <c r="B27" s="1249">
        <v>61</v>
      </c>
      <c r="C27" s="322"/>
      <c r="D27" s="322"/>
      <c r="E27" s="322"/>
      <c r="F27" s="322"/>
    </row>
    <row r="28" spans="1:6">
      <c r="A28" s="1248" t="s">
        <v>18</v>
      </c>
      <c r="B28" s="1250">
        <v>10</v>
      </c>
      <c r="C28" s="322"/>
      <c r="D28" s="322"/>
      <c r="E28" s="322"/>
      <c r="F28" s="322"/>
    </row>
    <row r="29" spans="1:6">
      <c r="A29" s="1248" t="s">
        <v>884</v>
      </c>
      <c r="B29" s="1250">
        <v>44</v>
      </c>
      <c r="C29" s="322"/>
      <c r="D29" s="322"/>
      <c r="E29" s="322"/>
      <c r="F29" s="322"/>
    </row>
    <row r="30" spans="1:6">
      <c r="A30" s="1243" t="s">
        <v>885</v>
      </c>
      <c r="B30" s="1251">
        <v>21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784344.41312000004</v>
      </c>
      <c r="E36" s="1249">
        <v>4</v>
      </c>
      <c r="F36" s="1249">
        <v>11668.650626000001</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11491.260703</v>
      </c>
    </row>
    <row r="39" spans="1:6">
      <c r="A39" s="1248" t="s">
        <v>29</v>
      </c>
      <c r="B39" s="1248" t="s">
        <v>30</v>
      </c>
      <c r="C39" s="1249">
        <v>7968</v>
      </c>
      <c r="D39" s="1249">
        <v>109149536.08</v>
      </c>
      <c r="E39" s="1249">
        <v>10692</v>
      </c>
      <c r="F39" s="1249">
        <v>34963606.549999997</v>
      </c>
    </row>
    <row r="40" spans="1:6">
      <c r="A40" s="1248" t="s">
        <v>29</v>
      </c>
      <c r="B40" s="1248" t="s">
        <v>28</v>
      </c>
      <c r="C40" s="1249">
        <v>0</v>
      </c>
      <c r="D40" s="1249">
        <v>0</v>
      </c>
      <c r="E40" s="1249">
        <v>0</v>
      </c>
      <c r="F40" s="1249">
        <v>0</v>
      </c>
    </row>
    <row r="41" spans="1:6">
      <c r="A41" s="1248" t="s">
        <v>31</v>
      </c>
      <c r="B41" s="1248" t="s">
        <v>32</v>
      </c>
      <c r="C41" s="1249">
        <v>76</v>
      </c>
      <c r="D41" s="1249">
        <v>1497782.3894</v>
      </c>
      <c r="E41" s="1249">
        <v>193</v>
      </c>
      <c r="F41" s="1249">
        <v>3961294.4838</v>
      </c>
    </row>
    <row r="42" spans="1:6">
      <c r="A42" s="1248" t="s">
        <v>31</v>
      </c>
      <c r="B42" s="1248" t="s">
        <v>33</v>
      </c>
      <c r="C42" s="1249">
        <v>3</v>
      </c>
      <c r="D42" s="1249">
        <v>717775.87225999997</v>
      </c>
      <c r="E42" s="1249">
        <v>3</v>
      </c>
      <c r="F42" s="1249">
        <v>182806.75335000001</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183195.70579000001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5</v>
      </c>
      <c r="D47" s="1249">
        <v>141174.39515999999</v>
      </c>
      <c r="E47" s="1249">
        <v>11</v>
      </c>
      <c r="F47" s="1249">
        <v>107840.13331</v>
      </c>
    </row>
    <row r="48" spans="1:6">
      <c r="A48" s="1248" t="s">
        <v>31</v>
      </c>
      <c r="B48" s="1248" t="s">
        <v>28</v>
      </c>
      <c r="C48" s="1249">
        <v>46</v>
      </c>
      <c r="D48" s="1249">
        <v>77893675.957000002</v>
      </c>
      <c r="E48" s="1249">
        <v>48</v>
      </c>
      <c r="F48" s="1249">
        <v>19016947.373</v>
      </c>
    </row>
    <row r="49" spans="1:6">
      <c r="A49" s="1248" t="s">
        <v>31</v>
      </c>
      <c r="B49" s="1248" t="s">
        <v>39</v>
      </c>
      <c r="C49" s="1249">
        <v>3</v>
      </c>
      <c r="D49" s="1249">
        <v>19567206.883000001</v>
      </c>
      <c r="E49" s="1249">
        <v>30</v>
      </c>
      <c r="F49" s="1249">
        <v>35042911.303999998</v>
      </c>
    </row>
    <row r="50" spans="1:6">
      <c r="A50" s="1248" t="s">
        <v>31</v>
      </c>
      <c r="B50" s="1248" t="s">
        <v>40</v>
      </c>
      <c r="C50" s="1249">
        <v>9</v>
      </c>
      <c r="D50" s="1249">
        <v>524659.20160000003</v>
      </c>
      <c r="E50" s="1249">
        <v>10</v>
      </c>
      <c r="F50" s="1249">
        <v>234179.99788000001</v>
      </c>
    </row>
    <row r="51" spans="1:6">
      <c r="A51" s="1248" t="s">
        <v>41</v>
      </c>
      <c r="B51" s="1248" t="s">
        <v>42</v>
      </c>
      <c r="C51" s="1249">
        <v>3</v>
      </c>
      <c r="D51" s="1249">
        <v>49388.741207999999</v>
      </c>
      <c r="E51" s="1249">
        <v>34</v>
      </c>
      <c r="F51" s="1249">
        <v>380392.27425999998</v>
      </c>
    </row>
    <row r="52" spans="1:6">
      <c r="A52" s="1248" t="s">
        <v>41</v>
      </c>
      <c r="B52" s="1248" t="s">
        <v>28</v>
      </c>
      <c r="C52" s="1249">
        <v>2</v>
      </c>
      <c r="D52" s="1249">
        <v>35704.708942999998</v>
      </c>
      <c r="E52" s="1249">
        <v>5</v>
      </c>
      <c r="F52" s="1249">
        <v>16516.726108999999</v>
      </c>
    </row>
    <row r="53" spans="1:6">
      <c r="A53" s="1248" t="s">
        <v>43</v>
      </c>
      <c r="B53" s="1248" t="s">
        <v>44</v>
      </c>
      <c r="C53" s="1249">
        <v>250</v>
      </c>
      <c r="D53" s="1249">
        <v>6534343.8794</v>
      </c>
      <c r="E53" s="1249">
        <v>443</v>
      </c>
      <c r="F53" s="1249">
        <v>1802571.1158</v>
      </c>
    </row>
    <row r="54" spans="1:6">
      <c r="A54" s="1248" t="s">
        <v>45</v>
      </c>
      <c r="B54" s="1248" t="s">
        <v>46</v>
      </c>
      <c r="C54" s="1249">
        <v>0</v>
      </c>
      <c r="D54" s="1249">
        <v>0</v>
      </c>
      <c r="E54" s="1249">
        <v>1</v>
      </c>
      <c r="F54" s="1249">
        <v>1816059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83</v>
      </c>
      <c r="D57" s="1249">
        <v>4110768.7895</v>
      </c>
      <c r="E57" s="1249">
        <v>128</v>
      </c>
      <c r="F57" s="1249">
        <v>2673532.6943999999</v>
      </c>
    </row>
    <row r="58" spans="1:6">
      <c r="A58" s="1248" t="s">
        <v>48</v>
      </c>
      <c r="B58" s="1248" t="s">
        <v>50</v>
      </c>
      <c r="C58" s="1249">
        <v>50</v>
      </c>
      <c r="D58" s="1249">
        <v>8531125.7468999997</v>
      </c>
      <c r="E58" s="1249">
        <v>75</v>
      </c>
      <c r="F58" s="1249">
        <v>6102079.8598999996</v>
      </c>
    </row>
    <row r="59" spans="1:6">
      <c r="A59" s="1248" t="s">
        <v>48</v>
      </c>
      <c r="B59" s="1248" t="s">
        <v>51</v>
      </c>
      <c r="C59" s="1249">
        <v>200</v>
      </c>
      <c r="D59" s="1249">
        <v>6945015.6946</v>
      </c>
      <c r="E59" s="1249">
        <v>357</v>
      </c>
      <c r="F59" s="1249">
        <v>11749710.318</v>
      </c>
    </row>
    <row r="60" spans="1:6">
      <c r="A60" s="1248" t="s">
        <v>48</v>
      </c>
      <c r="B60" s="1248" t="s">
        <v>52</v>
      </c>
      <c r="C60" s="1249">
        <v>85</v>
      </c>
      <c r="D60" s="1249">
        <v>3264719.6973000001</v>
      </c>
      <c r="E60" s="1249">
        <v>114</v>
      </c>
      <c r="F60" s="1249">
        <v>2362413.8579000002</v>
      </c>
    </row>
    <row r="61" spans="1:6">
      <c r="A61" s="1248" t="s">
        <v>48</v>
      </c>
      <c r="B61" s="1248" t="s">
        <v>53</v>
      </c>
      <c r="C61" s="1249">
        <v>257</v>
      </c>
      <c r="D61" s="1249">
        <v>20007991.579999998</v>
      </c>
      <c r="E61" s="1249">
        <v>518</v>
      </c>
      <c r="F61" s="1249">
        <v>6939545.2615999999</v>
      </c>
    </row>
    <row r="62" spans="1:6">
      <c r="A62" s="1248" t="s">
        <v>48</v>
      </c>
      <c r="B62" s="1248" t="s">
        <v>54</v>
      </c>
      <c r="C62" s="1249">
        <v>15</v>
      </c>
      <c r="D62" s="1249">
        <v>2940963.4421000001</v>
      </c>
      <c r="E62" s="1249">
        <v>26</v>
      </c>
      <c r="F62" s="1249">
        <v>806441.33956999995</v>
      </c>
    </row>
    <row r="63" spans="1:6">
      <c r="A63" s="1248" t="s">
        <v>48</v>
      </c>
      <c r="B63" s="1248" t="s">
        <v>28</v>
      </c>
      <c r="C63" s="1249">
        <v>103</v>
      </c>
      <c r="D63" s="1249">
        <v>6405180.0239000004</v>
      </c>
      <c r="E63" s="1249">
        <v>90</v>
      </c>
      <c r="F63" s="1249">
        <v>2661836.9854000001</v>
      </c>
    </row>
    <row r="64" spans="1:6">
      <c r="A64" s="1248" t="s">
        <v>55</v>
      </c>
      <c r="B64" s="1248" t="s">
        <v>56</v>
      </c>
      <c r="C64" s="1249">
        <v>0</v>
      </c>
      <c r="D64" s="1249">
        <v>0</v>
      </c>
      <c r="E64" s="1249">
        <v>0</v>
      </c>
      <c r="F64" s="1249">
        <v>0</v>
      </c>
    </row>
    <row r="65" spans="1:6">
      <c r="A65" s="1248" t="s">
        <v>55</v>
      </c>
      <c r="B65" s="1248" t="s">
        <v>28</v>
      </c>
      <c r="C65" s="1249">
        <v>5</v>
      </c>
      <c r="D65" s="1249">
        <v>160086.99136000001</v>
      </c>
      <c r="E65" s="1249">
        <v>2</v>
      </c>
      <c r="F65" s="1249">
        <v>8787.9966979000001</v>
      </c>
    </row>
    <row r="66" spans="1:6">
      <c r="A66" s="1248" t="s">
        <v>55</v>
      </c>
      <c r="B66" s="1248" t="s">
        <v>57</v>
      </c>
      <c r="C66" s="1249">
        <v>0</v>
      </c>
      <c r="D66" s="1249">
        <v>0</v>
      </c>
      <c r="E66" s="1249">
        <v>8</v>
      </c>
      <c r="F66" s="1249">
        <v>35727.249881000003</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16636.370992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59307627</v>
      </c>
      <c r="E73" s="439"/>
      <c r="F73" s="322"/>
    </row>
    <row r="74" spans="1:6">
      <c r="A74" s="1248" t="s">
        <v>63</v>
      </c>
      <c r="B74" s="1248" t="s">
        <v>626</v>
      </c>
      <c r="C74" s="1261" t="s">
        <v>628</v>
      </c>
      <c r="D74" s="1249">
        <v>19789954.09615685</v>
      </c>
      <c r="E74" s="439"/>
      <c r="F74" s="322"/>
    </row>
    <row r="75" spans="1:6">
      <c r="A75" s="1248" t="s">
        <v>64</v>
      </c>
      <c r="B75" s="1248" t="s">
        <v>625</v>
      </c>
      <c r="C75" s="1261" t="s">
        <v>629</v>
      </c>
      <c r="D75" s="1249">
        <v>18325493</v>
      </c>
      <c r="E75" s="439"/>
      <c r="F75" s="322"/>
    </row>
    <row r="76" spans="1:6">
      <c r="A76" s="1248" t="s">
        <v>64</v>
      </c>
      <c r="B76" s="1248" t="s">
        <v>626</v>
      </c>
      <c r="C76" s="1261" t="s">
        <v>630</v>
      </c>
      <c r="D76" s="1249">
        <v>2088687.0961568509</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209453.80768629795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1681.5682811536938</v>
      </c>
      <c r="C91" s="322"/>
      <c r="D91" s="322"/>
      <c r="E91" s="322"/>
      <c r="F91" s="322"/>
    </row>
    <row r="92" spans="1:6">
      <c r="A92" s="1243" t="s">
        <v>68</v>
      </c>
      <c r="B92" s="1244">
        <v>5353.9707966020114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5479</v>
      </c>
      <c r="C97" s="322"/>
      <c r="D97" s="322"/>
      <c r="E97" s="322"/>
      <c r="F97" s="322"/>
    </row>
    <row r="98" spans="1:6">
      <c r="A98" s="1248" t="s">
        <v>71</v>
      </c>
      <c r="B98" s="1249">
        <v>0</v>
      </c>
      <c r="C98" s="322"/>
      <c r="D98" s="322"/>
      <c r="E98" s="322"/>
      <c r="F98" s="322"/>
    </row>
    <row r="99" spans="1:6">
      <c r="A99" s="1248" t="s">
        <v>72</v>
      </c>
      <c r="B99" s="1249">
        <v>110</v>
      </c>
      <c r="C99" s="322"/>
      <c r="D99" s="322"/>
      <c r="E99" s="322"/>
      <c r="F99" s="322"/>
    </row>
    <row r="100" spans="1:6">
      <c r="A100" s="1248" t="s">
        <v>73</v>
      </c>
      <c r="B100" s="1249">
        <v>487</v>
      </c>
      <c r="C100" s="322"/>
      <c r="D100" s="322"/>
      <c r="E100" s="322"/>
      <c r="F100" s="322"/>
    </row>
    <row r="101" spans="1:6">
      <c r="A101" s="1248" t="s">
        <v>74</v>
      </c>
      <c r="B101" s="1249">
        <v>138</v>
      </c>
      <c r="C101" s="322"/>
      <c r="D101" s="322"/>
      <c r="E101" s="322"/>
      <c r="F101" s="322"/>
    </row>
    <row r="102" spans="1:6">
      <c r="A102" s="1248" t="s">
        <v>75</v>
      </c>
      <c r="B102" s="1249">
        <v>237</v>
      </c>
      <c r="C102" s="322"/>
      <c r="D102" s="322"/>
      <c r="E102" s="322"/>
      <c r="F102" s="322"/>
    </row>
    <row r="103" spans="1:6">
      <c r="A103" s="1248" t="s">
        <v>76</v>
      </c>
      <c r="B103" s="1249">
        <v>384</v>
      </c>
      <c r="C103" s="322"/>
      <c r="D103" s="322"/>
      <c r="E103" s="322"/>
      <c r="F103" s="322"/>
    </row>
    <row r="104" spans="1:6">
      <c r="A104" s="1248" t="s">
        <v>77</v>
      </c>
      <c r="B104" s="1249">
        <v>2766</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3</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11</v>
      </c>
      <c r="C123" s="1249">
        <v>14</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80</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133353.90293745339</v>
      </c>
      <c r="C3" s="43" t="s">
        <v>163</v>
      </c>
      <c r="D3" s="43"/>
      <c r="E3" s="153"/>
      <c r="F3" s="43"/>
      <c r="G3" s="43"/>
      <c r="H3" s="43"/>
      <c r="I3" s="43"/>
      <c r="J3" s="43"/>
      <c r="K3" s="96"/>
    </row>
    <row r="4" spans="1:11">
      <c r="A4" s="348" t="s">
        <v>164</v>
      </c>
      <c r="B4" s="49">
        <f>IF(ISERROR('SEAP template'!B78+'SEAP template'!C78),0,'SEAP template'!B78+'SEAP template'!C78)</f>
        <v>7679.039077755705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152.78059446254071</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0.20941963371371453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222.073691251745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935.35714285714266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0.23742128121606954</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1816.059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1816.059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0.20941963371371453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380.31841058249466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34963.606549999997</v>
      </c>
      <c r="C5" s="17">
        <f>IF(ISERROR('Eigen informatie GS &amp; warmtenet'!B57),0,'Eigen informatie GS &amp; warmtenet'!B57)</f>
        <v>0</v>
      </c>
      <c r="D5" s="30">
        <f>(SUM(HH_hh_gas_kWh,HH_rest_gas_kWh)/1000)*0.902</f>
        <v>98452.881544160002</v>
      </c>
      <c r="E5" s="17">
        <f>B32*B41</f>
        <v>1563.3347588376894</v>
      </c>
      <c r="F5" s="17">
        <f>B36*B45</f>
        <v>42503.977672306966</v>
      </c>
      <c r="G5" s="18"/>
      <c r="H5" s="17"/>
      <c r="I5" s="17"/>
      <c r="J5" s="17">
        <f>B35*B44+C35*C44</f>
        <v>783.84926568278627</v>
      </c>
      <c r="K5" s="17"/>
      <c r="L5" s="17"/>
      <c r="M5" s="17"/>
      <c r="N5" s="17">
        <f>B34*B43+C34*C43</f>
        <v>13311.079489561893</v>
      </c>
      <c r="O5" s="17">
        <f>B52*B53*B54</f>
        <v>146.95333333333335</v>
      </c>
      <c r="P5" s="17">
        <f>B60*B61*B62/1000-B60*B61*B62/1000/B63</f>
        <v>457.6</v>
      </c>
    </row>
    <row r="6" spans="1:16">
      <c r="A6" s="16" t="s">
        <v>586</v>
      </c>
      <c r="B6" s="716">
        <f>kWh_PV_kleiner_dan_10kW</f>
        <v>1681.5682811536938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36645.174831153694</v>
      </c>
      <c r="C8" s="21">
        <f>C5</f>
        <v>0</v>
      </c>
      <c r="D8" s="21">
        <f>D5</f>
        <v>98452.881544160002</v>
      </c>
      <c r="E8" s="21">
        <f>E5</f>
        <v>1563.3347588376894</v>
      </c>
      <c r="F8" s="21">
        <f>F5</f>
        <v>42503.977672306966</v>
      </c>
      <c r="G8" s="21"/>
      <c r="H8" s="21"/>
      <c r="I8" s="21"/>
      <c r="J8" s="21">
        <f>J5</f>
        <v>783.84926568278627</v>
      </c>
      <c r="K8" s="21"/>
      <c r="L8" s="21">
        <f>L5</f>
        <v>0</v>
      </c>
      <c r="M8" s="21">
        <f>M5</f>
        <v>0</v>
      </c>
      <c r="N8" s="21">
        <f>N5</f>
        <v>13311.079489561893</v>
      </c>
      <c r="O8" s="21">
        <f>O5</f>
        <v>146.95333333333335</v>
      </c>
      <c r="P8" s="21">
        <f>P5</f>
        <v>457.6</v>
      </c>
    </row>
    <row r="9" spans="1:16">
      <c r="B9" s="19"/>
      <c r="C9" s="19"/>
      <c r="D9" s="253"/>
      <c r="E9" s="19"/>
      <c r="F9" s="19"/>
      <c r="G9" s="19"/>
      <c r="H9" s="19"/>
      <c r="I9" s="19"/>
      <c r="J9" s="19"/>
      <c r="K9" s="19"/>
      <c r="L9" s="19"/>
      <c r="M9" s="19"/>
      <c r="N9" s="19"/>
      <c r="O9" s="19"/>
      <c r="P9" s="19"/>
    </row>
    <row r="10" spans="1:16">
      <c r="A10" s="24" t="s">
        <v>207</v>
      </c>
      <c r="B10" s="25">
        <f ca="1">'EF ele_warmte'!B12</f>
        <v>0.20941963371371453</v>
      </c>
      <c r="C10" s="25">
        <f ca="1">'EF ele_warmte'!B22</f>
        <v>0.23742128121606954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7674.2190905152374</v>
      </c>
      <c r="C12" s="23">
        <f ca="1">C10*C8</f>
        <v>0</v>
      </c>
      <c r="D12" s="23">
        <f>D8*D10</f>
        <v>19887.48207192032</v>
      </c>
      <c r="E12" s="23">
        <f>E10*E8</f>
        <v>354.87699025615552</v>
      </c>
      <c r="F12" s="23">
        <f>F10*F8</f>
        <v>11348.562038505961</v>
      </c>
      <c r="G12" s="23"/>
      <c r="H12" s="23"/>
      <c r="I12" s="23"/>
      <c r="J12" s="23">
        <f>J10*J8</f>
        <v>277.48264005170631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10562</v>
      </c>
      <c r="C26" s="36"/>
      <c r="D26" s="224"/>
    </row>
    <row r="27" spans="1:5" s="15" customFormat="1">
      <c r="A27" s="226" t="s">
        <v>655</v>
      </c>
      <c r="B27" s="37">
        <f>SUM(HH_hh_gas_aantal,HH_rest_gas_aantal)</f>
        <v>7968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7569.6</v>
      </c>
      <c r="C31" s="34" t="s">
        <v>104</v>
      </c>
      <c r="D31" s="170"/>
    </row>
    <row r="32" spans="1:5">
      <c r="A32" s="167" t="s">
        <v>72</v>
      </c>
      <c r="B32" s="33">
        <f>IF((B21*($B$26-($B$27-0.05*$B$27)-$B$60))&lt;0,0,B21*($B$26-($B$27-0.05*$B$27)-$B$60))</f>
        <v>19.15635220572144</v>
      </c>
      <c r="C32" s="34" t="s">
        <v>104</v>
      </c>
      <c r="D32" s="170"/>
    </row>
    <row r="33" spans="1:6">
      <c r="A33" s="167" t="s">
        <v>73</v>
      </c>
      <c r="B33" s="33">
        <f>IF((B22*($B$26-($B$27-0.05*$B$27)-$B$60))&lt;0,0,B22*($B$26-($B$27-0.05*$B$27)-$B$60))</f>
        <v>667.09377336165983</v>
      </c>
      <c r="C33" s="34" t="s">
        <v>104</v>
      </c>
      <c r="D33" s="170"/>
    </row>
    <row r="34" spans="1:6">
      <c r="A34" s="167" t="s">
        <v>74</v>
      </c>
      <c r="B34" s="33">
        <f>IF((B24*($B$26-($B$27-0.05*$B$27)-$B$60))&lt;0,0,B24*($B$26-($B$27-0.05*$B$27)-$B$60))</f>
        <v>132.47115355139624</v>
      </c>
      <c r="C34" s="33">
        <f>B26*C24</f>
        <v>2161.643639290704</v>
      </c>
      <c r="D34" s="229"/>
    </row>
    <row r="35" spans="1:6">
      <c r="A35" s="167" t="s">
        <v>76</v>
      </c>
      <c r="B35" s="33">
        <f>IF((B19*($B$26-($B$27-0.05*$B$27)-$B$60))&lt;0,0,B19*($B$26-($B$27-0.05*$B$27)-$B$60))</f>
        <v>64.692337441348798</v>
      </c>
      <c r="C35" s="33">
        <f>B35/2</f>
        <v>32.346168720674399</v>
      </c>
      <c r="D35" s="229"/>
    </row>
    <row r="36" spans="1:6">
      <c r="A36" s="167" t="s">
        <v>77</v>
      </c>
      <c r="B36" s="33">
        <f>IF((B18*($B$26-($B$27-0.05*$B$27)-$B$60))&lt;0,0,B18*($B$26-($B$27-0.05*$B$27)-$B$60))</f>
        <v>2084.9863834398743</v>
      </c>
      <c r="C36" s="34" t="s">
        <v>104</v>
      </c>
      <c r="D36" s="170"/>
    </row>
    <row r="37" spans="1:6">
      <c r="A37" s="167" t="s">
        <v>78</v>
      </c>
      <c r="B37" s="33">
        <f>B60</f>
        <v>24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33295.560316770003</v>
      </c>
      <c r="C5" s="17">
        <f>IF(ISERROR('Eigen informatie GS &amp; warmtenet'!B58),0,'Eigen informatie GS &amp; warmtenet'!B58)</f>
        <v>0</v>
      </c>
      <c r="D5" s="30">
        <f>SUM(D6:D12)</f>
        <v>47089.600006818604</v>
      </c>
      <c r="E5" s="17">
        <f>SUM(E6:E12)</f>
        <v>495.6243215042096</v>
      </c>
      <c r="F5" s="17">
        <f>SUM(F6:F12)</f>
        <v>6574.9844953886923</v>
      </c>
      <c r="G5" s="18"/>
      <c r="H5" s="17"/>
      <c r="I5" s="17"/>
      <c r="J5" s="17">
        <f>SUM(J6:J12)</f>
        <v>3.821531233328649E-2</v>
      </c>
      <c r="K5" s="17"/>
      <c r="L5" s="17"/>
      <c r="M5" s="17"/>
      <c r="N5" s="17">
        <f>SUM(N6:N12)</f>
        <v>1424.3856668512012</v>
      </c>
      <c r="O5" s="17">
        <f>B38*B39*B40</f>
        <v>0</v>
      </c>
      <c r="P5" s="17">
        <f>B46*B47*B48/1000-B46*B47*B48/1000/B49</f>
        <v>0</v>
      </c>
      <c r="R5" s="32"/>
    </row>
    <row r="6" spans="1:18">
      <c r="A6" s="32" t="s">
        <v>53</v>
      </c>
      <c r="B6" s="37">
        <f>B26</f>
        <v>6939.5452616000002</v>
      </c>
      <c r="C6" s="33"/>
      <c r="D6" s="37">
        <f>IF(ISERROR(TER_kantoor_gas_kWh/1000),0,TER_kantoor_gas_kWh/1000)*0.902</f>
        <v>18047.20840516</v>
      </c>
      <c r="E6" s="33">
        <f>$C$26*'E Balans VL '!I12/100/3.6*1000000</f>
        <v>3.9507982182034223E-18</v>
      </c>
      <c r="F6" s="33">
        <f>$C$26*('E Balans VL '!L12+'E Balans VL '!N12)/100/3.6*1000000</f>
        <v>938.11217522504683</v>
      </c>
      <c r="G6" s="34"/>
      <c r="H6" s="33"/>
      <c r="I6" s="33"/>
      <c r="J6" s="33">
        <f>$C$26*('E Balans VL '!D12+'E Balans VL '!E12)/100/3.6*1000000</f>
        <v>0</v>
      </c>
      <c r="K6" s="33"/>
      <c r="L6" s="33"/>
      <c r="M6" s="33"/>
      <c r="N6" s="33">
        <f>$C$26*'E Balans VL '!Y12/100/3.6*1000000</f>
        <v>8.7215983397189802</v>
      </c>
      <c r="O6" s="33"/>
      <c r="P6" s="33"/>
      <c r="R6" s="32"/>
    </row>
    <row r="7" spans="1:18">
      <c r="A7" s="32" t="s">
        <v>52</v>
      </c>
      <c r="B7" s="37">
        <f t="shared" ref="B7:B12" si="0">B27</f>
        <v>2362.4138579</v>
      </c>
      <c r="C7" s="33"/>
      <c r="D7" s="37">
        <f>IF(ISERROR(TER_horeca_gas_kWh/1000),0,TER_horeca_gas_kWh/1000)*0.902</f>
        <v>2944.7771669645999</v>
      </c>
      <c r="E7" s="33">
        <f>$C$27*'E Balans VL '!I9/100/3.6*1000000</f>
        <v>30.172832024715476</v>
      </c>
      <c r="F7" s="33">
        <f>$C$27*('E Balans VL '!L9+'E Balans VL '!N9)/100/3.6*1000000</f>
        <v>266.82403052142826</v>
      </c>
      <c r="G7" s="34"/>
      <c r="H7" s="33"/>
      <c r="I7" s="33"/>
      <c r="J7" s="33">
        <f>$C$27*('E Balans VL '!D9+'E Balans VL '!E9)/100/3.6*1000000</f>
        <v>0</v>
      </c>
      <c r="K7" s="33"/>
      <c r="L7" s="33"/>
      <c r="M7" s="33"/>
      <c r="N7" s="33">
        <f>$C$27*'E Balans VL '!Y9/100/3.6*1000000</f>
        <v>0.56297325022082112</v>
      </c>
      <c r="O7" s="33"/>
      <c r="P7" s="33"/>
      <c r="R7" s="32"/>
    </row>
    <row r="8" spans="1:18">
      <c r="A8" s="6" t="s">
        <v>51</v>
      </c>
      <c r="B8" s="37">
        <f t="shared" si="0"/>
        <v>11749.710317999999</v>
      </c>
      <c r="C8" s="33"/>
      <c r="D8" s="37">
        <f>IF(ISERROR(TER_handel_gas_kWh/1000),0,TER_handel_gas_kWh/1000)*0.902</f>
        <v>6264.4041565292</v>
      </c>
      <c r="E8" s="33">
        <f>$C$28*'E Balans VL '!I13/100/3.6*1000000</f>
        <v>383.7264678673447</v>
      </c>
      <c r="F8" s="33">
        <f>$C$28*('E Balans VL '!L13+'E Balans VL '!N13)/100/3.6*1000000</f>
        <v>2034.3668732771027</v>
      </c>
      <c r="G8" s="34"/>
      <c r="H8" s="33"/>
      <c r="I8" s="33"/>
      <c r="J8" s="33">
        <f>$C$28*('E Balans VL '!D13+'E Balans VL '!E13)/100/3.6*1000000</f>
        <v>0</v>
      </c>
      <c r="K8" s="33"/>
      <c r="L8" s="33"/>
      <c r="M8" s="33"/>
      <c r="N8" s="33">
        <f>$C$28*'E Balans VL '!Y13/100/3.6*1000000</f>
        <v>13.829083109497702</v>
      </c>
      <c r="O8" s="33"/>
      <c r="P8" s="33"/>
      <c r="R8" s="32"/>
    </row>
    <row r="9" spans="1:18">
      <c r="A9" s="32" t="s">
        <v>50</v>
      </c>
      <c r="B9" s="37">
        <f t="shared" si="0"/>
        <v>6102.0798599</v>
      </c>
      <c r="C9" s="33"/>
      <c r="D9" s="37">
        <f>IF(ISERROR(TER_gezond_gas_kWh/1000),0,TER_gezond_gas_kWh/1000)*0.902</f>
        <v>7695.0754237038</v>
      </c>
      <c r="E9" s="33">
        <f>$C$29*'E Balans VL '!I10/100/3.6*1000000</f>
        <v>0.34075547198124867</v>
      </c>
      <c r="F9" s="33">
        <f>$C$29*('E Balans VL '!L10+'E Balans VL '!N10)/100/3.6*1000000</f>
        <v>808.5028808402277</v>
      </c>
      <c r="G9" s="34"/>
      <c r="H9" s="33"/>
      <c r="I9" s="33"/>
      <c r="J9" s="33">
        <f>$C$29*('E Balans VL '!D10+'E Balans VL '!E10)/100/3.6*1000000</f>
        <v>0</v>
      </c>
      <c r="K9" s="33"/>
      <c r="L9" s="33"/>
      <c r="M9" s="33"/>
      <c r="N9" s="33">
        <f>$C$29*'E Balans VL '!Y10/100/3.6*1000000</f>
        <v>64.677945116134126</v>
      </c>
      <c r="O9" s="33"/>
      <c r="P9" s="33"/>
      <c r="R9" s="32"/>
    </row>
    <row r="10" spans="1:18">
      <c r="A10" s="32" t="s">
        <v>49</v>
      </c>
      <c r="B10" s="37">
        <f t="shared" si="0"/>
        <v>2673.5326943999999</v>
      </c>
      <c r="C10" s="33"/>
      <c r="D10" s="37">
        <f>IF(ISERROR(TER_ander_gas_kWh/1000),0,TER_ander_gas_kWh/1000)*0.902</f>
        <v>3707.9134481290002</v>
      </c>
      <c r="E10" s="33">
        <f>$C$30*'E Balans VL '!I14/100/3.6*1000000</f>
        <v>34.524464457914206</v>
      </c>
      <c r="F10" s="33">
        <f>$C$30*('E Balans VL '!L14+'E Balans VL '!N14)/100/3.6*1000000</f>
        <v>1764.7222736951367</v>
      </c>
      <c r="G10" s="34"/>
      <c r="H10" s="33"/>
      <c r="I10" s="33"/>
      <c r="J10" s="33">
        <f>$C$30*('E Balans VL '!D14+'E Balans VL '!E14)/100/3.6*1000000</f>
        <v>3.2387748132219077E-2</v>
      </c>
      <c r="K10" s="33"/>
      <c r="L10" s="33"/>
      <c r="M10" s="33"/>
      <c r="N10" s="33">
        <f>$C$30*'E Balans VL '!Y14/100/3.6*1000000</f>
        <v>1127.4178517570344</v>
      </c>
      <c r="O10" s="33"/>
      <c r="P10" s="33"/>
      <c r="R10" s="32"/>
    </row>
    <row r="11" spans="1:18">
      <c r="A11" s="32" t="s">
        <v>54</v>
      </c>
      <c r="B11" s="37">
        <f t="shared" si="0"/>
        <v>806.44133956999997</v>
      </c>
      <c r="C11" s="33"/>
      <c r="D11" s="37">
        <f>IF(ISERROR(TER_onderwijs_gas_kWh/1000),0,TER_onderwijs_gas_kWh/1000)*0.902</f>
        <v>2652.7490247742003</v>
      </c>
      <c r="E11" s="33">
        <f>$C$31*'E Balans VL '!I11/100/3.6*1000000</f>
        <v>10.852699844157536</v>
      </c>
      <c r="F11" s="33">
        <f>$C$31*('E Balans VL '!L11+'E Balans VL '!N11)/100/3.6*1000000</f>
        <v>126.02845446403664</v>
      </c>
      <c r="G11" s="34"/>
      <c r="H11" s="33"/>
      <c r="I11" s="33"/>
      <c r="J11" s="33">
        <f>$C$31*('E Balans VL '!D11+'E Balans VL '!E11)/100/3.6*1000000</f>
        <v>0</v>
      </c>
      <c r="K11" s="33"/>
      <c r="L11" s="33"/>
      <c r="M11" s="33"/>
      <c r="N11" s="33">
        <f>$C$31*'E Balans VL '!Y11/100/3.6*1000000</f>
        <v>1.8621112665688773</v>
      </c>
      <c r="O11" s="33"/>
      <c r="P11" s="33"/>
      <c r="R11" s="32"/>
    </row>
    <row r="12" spans="1:18">
      <c r="A12" s="32" t="s">
        <v>249</v>
      </c>
      <c r="B12" s="37">
        <f t="shared" si="0"/>
        <v>2661.8369854000002</v>
      </c>
      <c r="C12" s="33"/>
      <c r="D12" s="37">
        <f>IF(ISERROR(TER_rest_gas_kWh/1000),0,TER_rest_gas_kWh/1000)*0.902</f>
        <v>5777.4723815578009</v>
      </c>
      <c r="E12" s="33">
        <f>$C$32*'E Balans VL '!I8/100/3.6*1000000</f>
        <v>36.007101838096403</v>
      </c>
      <c r="F12" s="33">
        <f>$C$32*('E Balans VL '!L8+'E Balans VL '!N8)/100/3.6*1000000</f>
        <v>636.42780736571444</v>
      </c>
      <c r="G12" s="34"/>
      <c r="H12" s="33"/>
      <c r="I12" s="33"/>
      <c r="J12" s="33">
        <f>$C$32*('E Balans VL '!D8+'E Balans VL '!E8)/100/3.6*1000000</f>
        <v>5.8275642010674105E-3</v>
      </c>
      <c r="K12" s="33"/>
      <c r="L12" s="33"/>
      <c r="M12" s="33"/>
      <c r="N12" s="33">
        <f>$C$32*'E Balans VL '!Y8/100/3.6*1000000</f>
        <v>207.31410401202618</v>
      </c>
      <c r="O12" s="33"/>
      <c r="P12" s="33"/>
      <c r="R12" s="32"/>
    </row>
    <row r="13" spans="1:18">
      <c r="A13" s="16" t="s">
        <v>477</v>
      </c>
      <c r="B13" s="242">
        <f ca="1">'lokale energieproductie'!N39+'lokale energieproductie'!N32</f>
        <v>643.49999999999989</v>
      </c>
      <c r="C13" s="242">
        <f ca="1">'lokale energieproductie'!O39+'lokale energieproductie'!O32</f>
        <v>935.35714285714266</v>
      </c>
      <c r="D13" s="300">
        <f ca="1">('lokale energieproductie'!P32+'lokale energieproductie'!P39)*(-1)</f>
        <v>-1855.7142857142856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33939.060316770003</v>
      </c>
      <c r="C16" s="21">
        <f t="shared" ca="1" si="1"/>
        <v>935.35714285714266</v>
      </c>
      <c r="D16" s="21">
        <f t="shared" ca="1" si="1"/>
        <v>45233.885721104321</v>
      </c>
      <c r="E16" s="21">
        <f t="shared" si="1"/>
        <v>495.6243215042096</v>
      </c>
      <c r="F16" s="21">
        <f t="shared" ca="1" si="1"/>
        <v>6574.9844953886923</v>
      </c>
      <c r="G16" s="21">
        <f t="shared" si="1"/>
        <v>0</v>
      </c>
      <c r="H16" s="21">
        <f t="shared" si="1"/>
        <v>0</v>
      </c>
      <c r="I16" s="21">
        <f t="shared" si="1"/>
        <v>0</v>
      </c>
      <c r="J16" s="21">
        <f t="shared" si="1"/>
        <v>3.821531233328649E-2</v>
      </c>
      <c r="K16" s="21">
        <f t="shared" si="1"/>
        <v>0</v>
      </c>
      <c r="L16" s="21">
        <f t="shared" ca="1" si="1"/>
        <v>0</v>
      </c>
      <c r="M16" s="21">
        <f t="shared" si="1"/>
        <v>0</v>
      </c>
      <c r="N16" s="21">
        <f t="shared" ca="1" si="1"/>
        <v>1424.3856668512012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0.20941963371371453</v>
      </c>
      <c r="C18" s="25">
        <f ca="1">'EF ele_warmte'!B22</f>
        <v>0.23742128121606954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7107.5055801256385</v>
      </c>
      <c r="C20" s="23">
        <f t="shared" ref="C20:P20" ca="1" si="2">C16*C18</f>
        <v>222.073691251745</v>
      </c>
      <c r="D20" s="23">
        <f t="shared" ca="1" si="2"/>
        <v>9137.2449156630737</v>
      </c>
      <c r="E20" s="23">
        <f t="shared" si="2"/>
        <v>112.50672098145559</v>
      </c>
      <c r="F20" s="23">
        <f t="shared" ca="1" si="2"/>
        <v>1755.520860268781</v>
      </c>
      <c r="G20" s="23">
        <f t="shared" si="2"/>
        <v>0</v>
      </c>
      <c r="H20" s="23">
        <f t="shared" si="2"/>
        <v>0</v>
      </c>
      <c r="I20" s="23">
        <f t="shared" si="2"/>
        <v>0</v>
      </c>
      <c r="J20" s="23">
        <f t="shared" si="2"/>
        <v>1.3528220565983417E-2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6939.5452616000002</v>
      </c>
      <c r="C26" s="39">
        <f>IF(ISERROR(B26*3.6/1000000/'E Balans VL '!Z12*100),0,B26*3.6/1000000/'E Balans VL '!Z12*100)</f>
        <v>0.18619640556017278</v>
      </c>
      <c r="D26" s="232" t="s">
        <v>621</v>
      </c>
      <c r="F26" s="6"/>
    </row>
    <row r="27" spans="1:18">
      <c r="A27" s="227" t="s">
        <v>52</v>
      </c>
      <c r="B27" s="33">
        <f>IF(ISERROR(TER_horeca_ele_kWh/1000),0,TER_horeca_ele_kWh/1000)</f>
        <v>2362.4138579</v>
      </c>
      <c r="C27" s="39">
        <f>IF(ISERROR(B27*3.6/1000000/'E Balans VL '!Z9*100),0,B27*3.6/1000000/'E Balans VL '!Z9*100)</f>
        <v>0.18767727911092538</v>
      </c>
      <c r="D27" s="232" t="s">
        <v>621</v>
      </c>
      <c r="F27" s="6"/>
    </row>
    <row r="28" spans="1:18">
      <c r="A28" s="167" t="s">
        <v>51</v>
      </c>
      <c r="B28" s="33">
        <f>IF(ISERROR(TER_handel_ele_kWh/1000),0,TER_handel_ele_kWh/1000)</f>
        <v>11749.710317999999</v>
      </c>
      <c r="C28" s="39">
        <f>IF(ISERROR(B28*3.6/1000000/'E Balans VL '!Z13*100),0,B28*3.6/1000000/'E Balans VL '!Z13*100)</f>
        <v>0.34367763729355127</v>
      </c>
      <c r="D28" s="232" t="s">
        <v>621</v>
      </c>
      <c r="F28" s="6"/>
    </row>
    <row r="29" spans="1:18">
      <c r="A29" s="227" t="s">
        <v>50</v>
      </c>
      <c r="B29" s="33">
        <f>IF(ISERROR(TER_gezond_ele_kWh/1000),0,TER_gezond_ele_kWh/1000)</f>
        <v>6102.0798599</v>
      </c>
      <c r="C29" s="39">
        <f>IF(ISERROR(B29*3.6/1000000/'E Balans VL '!Z10*100),0,B29*3.6/1000000/'E Balans VL '!Z10*100)</f>
        <v>0.64764977732432705</v>
      </c>
      <c r="D29" s="232" t="s">
        <v>621</v>
      </c>
      <c r="F29" s="6"/>
    </row>
    <row r="30" spans="1:18">
      <c r="A30" s="227" t="s">
        <v>49</v>
      </c>
      <c r="B30" s="33">
        <f>IF(ISERROR(TER_ander_ele_kWh/1000),0,TER_ander_ele_kWh/1000)</f>
        <v>2673.5326943999999</v>
      </c>
      <c r="C30" s="39">
        <f>IF(ISERROR(B30*3.6/1000000/'E Balans VL '!Z14*100),0,B30*3.6/1000000/'E Balans VL '!Z14*100)</f>
        <v>0.12435568822097766</v>
      </c>
      <c r="D30" s="232" t="s">
        <v>621</v>
      </c>
      <c r="F30" s="6"/>
    </row>
    <row r="31" spans="1:18">
      <c r="A31" s="227" t="s">
        <v>54</v>
      </c>
      <c r="B31" s="33">
        <f>IF(ISERROR(TER_onderwijs_ele_kWh/1000),0,TER_onderwijs_ele_kWh/1000)</f>
        <v>806.44133956999997</v>
      </c>
      <c r="C31" s="39">
        <f>IF(ISERROR(B31*3.6/1000000/'E Balans VL '!Z11*100),0,B31*3.6/1000000/'E Balans VL '!Z11*100)</f>
        <v>0.2018355532245921</v>
      </c>
      <c r="D31" s="232" t="s">
        <v>621</v>
      </c>
    </row>
    <row r="32" spans="1:18">
      <c r="A32" s="227" t="s">
        <v>249</v>
      </c>
      <c r="B32" s="33">
        <f>IF(ISERROR(TER_rest_ele_kWh/1000),0,TER_rest_ele_kWh/1000)</f>
        <v>2661.8369854000002</v>
      </c>
      <c r="C32" s="39">
        <f>IF(ISERROR(B32*3.6/1000000/'E Balans VL '!Z8*100),0,B32*3.6/1000000/'E Balans VL '!Z8*100)</f>
        <v>2.2375459816385106E-2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58729.175751129995</v>
      </c>
      <c r="C5" s="17">
        <f>IF(ISERROR('Eigen informatie GS &amp; warmtenet'!B59),0,'Eigen informatie GS &amp; warmtenet'!B59)</f>
        <v>0</v>
      </c>
      <c r="D5" s="30">
        <f>SUM(D6:D15)</f>
        <v>90508.731777974841</v>
      </c>
      <c r="E5" s="17">
        <f>SUM(E6:E15)</f>
        <v>2152.5854913760986</v>
      </c>
      <c r="F5" s="17">
        <f>SUM(F6:F15)</f>
        <v>9550.185607810412</v>
      </c>
      <c r="G5" s="18"/>
      <c r="H5" s="17"/>
      <c r="I5" s="17"/>
      <c r="J5" s="17">
        <f>SUM(J6:J15)</f>
        <v>161.39189522753028</v>
      </c>
      <c r="K5" s="17"/>
      <c r="L5" s="17"/>
      <c r="M5" s="17"/>
      <c r="N5" s="17">
        <f>SUM(N6:N15)</f>
        <v>1577.0931427198557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183.19570579000001</v>
      </c>
      <c r="C8" s="33"/>
      <c r="D8" s="37">
        <f>IF( ISERROR(IND_metaal_Gas_kWH/1000),0,IND_metaal_Gas_kWH/1000)*0.902</f>
        <v>0</v>
      </c>
      <c r="E8" s="33">
        <f>C30*'E Balans VL '!I18/100/3.6*1000000</f>
        <v>6.5919356989026392</v>
      </c>
      <c r="F8" s="33">
        <f>C30*'E Balans VL '!L18/100/3.6*1000000+C30*'E Balans VL '!N18/100/3.6*1000000</f>
        <v>79.995626152640824</v>
      </c>
      <c r="G8" s="34"/>
      <c r="H8" s="33"/>
      <c r="I8" s="33"/>
      <c r="J8" s="40">
        <f>C30*'E Balans VL '!D18/100/3.6*1000000+C30*'E Balans VL '!E18/100/3.6*1000000</f>
        <v>0</v>
      </c>
      <c r="K8" s="33"/>
      <c r="L8" s="33"/>
      <c r="M8" s="33"/>
      <c r="N8" s="33">
        <f>C30*'E Balans VL '!Y18/100/3.6*1000000</f>
        <v>9.1816442795213078</v>
      </c>
      <c r="O8" s="33"/>
      <c r="P8" s="33"/>
      <c r="R8" s="32"/>
    </row>
    <row r="9" spans="1:18">
      <c r="A9" s="6" t="s">
        <v>32</v>
      </c>
      <c r="B9" s="37">
        <f t="shared" si="0"/>
        <v>3961.2944837999999</v>
      </c>
      <c r="C9" s="33"/>
      <c r="D9" s="37">
        <f>IF( ISERROR(IND_andere_gas_kWh/1000),0,IND_andere_gas_kWh/1000)*0.902</f>
        <v>1350.9997152388</v>
      </c>
      <c r="E9" s="33">
        <f>C31*'E Balans VL '!I19/100/3.6*1000000</f>
        <v>1010.8327254677108</v>
      </c>
      <c r="F9" s="33">
        <f>C31*'E Balans VL '!L19/100/3.6*1000000+C31*'E Balans VL '!N19/100/3.6*1000000</f>
        <v>3410.3768080831646</v>
      </c>
      <c r="G9" s="34"/>
      <c r="H9" s="33"/>
      <c r="I9" s="33"/>
      <c r="J9" s="40">
        <f>C31*'E Balans VL '!D19/100/3.6*1000000+C31*'E Balans VL '!E19/100/3.6*1000000</f>
        <v>0</v>
      </c>
      <c r="K9" s="33"/>
      <c r="L9" s="33"/>
      <c r="M9" s="33"/>
      <c r="N9" s="33">
        <f>C31*'E Balans VL '!Y19/100/3.6*1000000</f>
        <v>312.49978082758918</v>
      </c>
      <c r="O9" s="33"/>
      <c r="P9" s="33"/>
      <c r="R9" s="32"/>
    </row>
    <row r="10" spans="1:18">
      <c r="A10" s="6" t="s">
        <v>40</v>
      </c>
      <c r="B10" s="37">
        <f t="shared" si="0"/>
        <v>234.17999788</v>
      </c>
      <c r="C10" s="33"/>
      <c r="D10" s="37">
        <f>IF( ISERROR(IND_voed_gas_kWh/1000),0,IND_voed_gas_kWh/1000)*0.902</f>
        <v>473.24259984320008</v>
      </c>
      <c r="E10" s="33">
        <f>C32*'E Balans VL '!I20/100/3.6*1000000</f>
        <v>5.9531771015976176</v>
      </c>
      <c r="F10" s="33">
        <f>C32*'E Balans VL '!L20/100/3.6*1000000+C32*'E Balans VL '!N20/100/3.6*1000000</f>
        <v>52.991418175312269</v>
      </c>
      <c r="G10" s="34"/>
      <c r="H10" s="33"/>
      <c r="I10" s="33"/>
      <c r="J10" s="40">
        <f>C32*'E Balans VL '!D20/100/3.6*1000000+C32*'E Balans VL '!E20/100/3.6*1000000</f>
        <v>0</v>
      </c>
      <c r="K10" s="33"/>
      <c r="L10" s="33"/>
      <c r="M10" s="33"/>
      <c r="N10" s="33">
        <f>C32*'E Balans VL '!Y20/100/3.6*1000000</f>
        <v>87.823846903520732</v>
      </c>
      <c r="O10" s="33"/>
      <c r="P10" s="33"/>
      <c r="R10" s="32"/>
    </row>
    <row r="11" spans="1:18">
      <c r="A11" s="6" t="s">
        <v>39</v>
      </c>
      <c r="B11" s="37">
        <f t="shared" si="0"/>
        <v>35042.911304000001</v>
      </c>
      <c r="C11" s="33"/>
      <c r="D11" s="37">
        <f>IF( ISERROR(IND_textiel_gas_kWh/1000),0,IND_textiel_gas_kWh/1000)*0.902</f>
        <v>17649.620608466004</v>
      </c>
      <c r="E11" s="33">
        <f>C33*'E Balans VL '!I21/100/3.6*1000000</f>
        <v>96.20221536906665</v>
      </c>
      <c r="F11" s="33">
        <f>C33*'E Balans VL '!L21/100/3.6*1000000+C33*'E Balans VL '!N21/100/3.6*1000000</f>
        <v>1857.8291147085069</v>
      </c>
      <c r="G11" s="34"/>
      <c r="H11" s="33"/>
      <c r="I11" s="33"/>
      <c r="J11" s="40">
        <f>C33*'E Balans VL '!D21/100/3.6*1000000+C33*'E Balans VL '!E21/100/3.6*1000000</f>
        <v>0</v>
      </c>
      <c r="K11" s="33"/>
      <c r="L11" s="33"/>
      <c r="M11" s="33"/>
      <c r="N11" s="33">
        <f>C33*'E Balans VL '!Y21/100/3.6*1000000</f>
        <v>70.430452728746587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107.84013331</v>
      </c>
      <c r="C13" s="33"/>
      <c r="D13" s="37">
        <f>IF( ISERROR(IND_papier_gas_kWh/1000),0,IND_papier_gas_kWh/1000)*0.902</f>
        <v>127.33930443432</v>
      </c>
      <c r="E13" s="33">
        <f>C35*'E Balans VL '!I23/100/3.6*1000000</f>
        <v>0.4624949591540275</v>
      </c>
      <c r="F13" s="33">
        <f>C35*'E Balans VL '!L23/100/3.6*1000000+C35*'E Balans VL '!N23/100/3.6*1000000</f>
        <v>2.7103572645461567</v>
      </c>
      <c r="G13" s="34"/>
      <c r="H13" s="33"/>
      <c r="I13" s="33"/>
      <c r="J13" s="40">
        <f>C35*'E Balans VL '!D23/100/3.6*1000000+C35*'E Balans VL '!E23/100/3.6*1000000</f>
        <v>7.2193054463043422</v>
      </c>
      <c r="K13" s="33"/>
      <c r="L13" s="33"/>
      <c r="M13" s="33"/>
      <c r="N13" s="33">
        <f>C35*'E Balans VL '!Y23/100/3.6*1000000</f>
        <v>26.298288617277009</v>
      </c>
      <c r="O13" s="33"/>
      <c r="P13" s="33"/>
      <c r="R13" s="32"/>
    </row>
    <row r="14" spans="1:18">
      <c r="A14" s="6" t="s">
        <v>33</v>
      </c>
      <c r="B14" s="37">
        <f t="shared" si="0"/>
        <v>182.80675335000001</v>
      </c>
      <c r="C14" s="33"/>
      <c r="D14" s="37">
        <f>IF( ISERROR(IND_chemie_gas_kWh/1000),0,IND_chemie_gas_kWh/1000)*0.902</f>
        <v>647.43383677852</v>
      </c>
      <c r="E14" s="33">
        <f>C36*'E Balans VL '!I24/100/3.6*1000000</f>
        <v>0.43825055688788206</v>
      </c>
      <c r="F14" s="33">
        <f>C36*'E Balans VL '!L24/100/3.6*1000000+C36*'E Balans VL '!N24/100/3.6*1000000</f>
        <v>1.4670655472944494</v>
      </c>
      <c r="G14" s="34"/>
      <c r="H14" s="33"/>
      <c r="I14" s="33"/>
      <c r="J14" s="40">
        <f>C36*'E Balans VL '!D24/100/3.6*1000000+C36*'E Balans VL '!E24/100/3.6*1000000</f>
        <v>0</v>
      </c>
      <c r="K14" s="33"/>
      <c r="L14" s="33"/>
      <c r="M14" s="33"/>
      <c r="N14" s="33">
        <f>C36*'E Balans VL '!Y24/100/3.6*1000000</f>
        <v>3.7784738688387365</v>
      </c>
      <c r="O14" s="33"/>
      <c r="P14" s="33"/>
      <c r="R14" s="32"/>
    </row>
    <row r="15" spans="1:18">
      <c r="A15" s="6" t="s">
        <v>259</v>
      </c>
      <c r="B15" s="37">
        <f t="shared" si="0"/>
        <v>19016.947372999999</v>
      </c>
      <c r="C15" s="33"/>
      <c r="D15" s="37">
        <f>IF( ISERROR(IND_rest_gas_kWh/1000),0,IND_rest_gas_kWh/1000)*0.902</f>
        <v>70260.095713214003</v>
      </c>
      <c r="E15" s="33">
        <f>C37*'E Balans VL '!I15/100/3.6*1000000</f>
        <v>1032.104692222779</v>
      </c>
      <c r="F15" s="33">
        <f>C37*'E Balans VL '!L15/100/3.6*1000000+C37*'E Balans VL '!N15/100/3.6*1000000</f>
        <v>4144.815217878946</v>
      </c>
      <c r="G15" s="34"/>
      <c r="H15" s="33"/>
      <c r="I15" s="33"/>
      <c r="J15" s="40">
        <f>C37*'E Balans VL '!D15/100/3.6*1000000+C37*'E Balans VL '!E15/100/3.6*1000000</f>
        <v>154.17258978122595</v>
      </c>
      <c r="K15" s="33"/>
      <c r="L15" s="33"/>
      <c r="M15" s="33"/>
      <c r="N15" s="33">
        <f>C37*'E Balans VL '!Y15/100/3.6*1000000</f>
        <v>1067.080655494362</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58729.175751129995</v>
      </c>
      <c r="C18" s="21">
        <f>C5+C16</f>
        <v>0</v>
      </c>
      <c r="D18" s="21">
        <f>MAX((D5+D16),0)</f>
        <v>90508.731777974841</v>
      </c>
      <c r="E18" s="21">
        <f>MAX((E5+E16),0)</f>
        <v>2152.5854913760986</v>
      </c>
      <c r="F18" s="21">
        <f>MAX((F5+F16),0)</f>
        <v>9550.185607810412</v>
      </c>
      <c r="G18" s="21"/>
      <c r="H18" s="21"/>
      <c r="I18" s="21"/>
      <c r="J18" s="21">
        <f>MAX((J5+J16),0)</f>
        <v>161.39189522753028</v>
      </c>
      <c r="K18" s="21"/>
      <c r="L18" s="21">
        <f>MAX((L5+L16),0)</f>
        <v>0</v>
      </c>
      <c r="M18" s="21"/>
      <c r="N18" s="21">
        <f>MAX((N5+N16),0)</f>
        <v>1577.0931427198557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0.20941963371371453</v>
      </c>
      <c r="C20" s="25">
        <f ca="1">'EF ele_warmte'!B22</f>
        <v>0.23742128121606954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12299.042474110009</v>
      </c>
      <c r="C22" s="23">
        <f ca="1">C18*C20</f>
        <v>0</v>
      </c>
      <c r="D22" s="23">
        <f>D18*D20</f>
        <v>18282.763819150918</v>
      </c>
      <c r="E22" s="23">
        <f>E18*E20</f>
        <v>488.63690654237439</v>
      </c>
      <c r="F22" s="23">
        <f>F18*F20</f>
        <v>2549.8995572853801</v>
      </c>
      <c r="G22" s="23"/>
      <c r="H22" s="23"/>
      <c r="I22" s="23"/>
      <c r="J22" s="23">
        <f>J18*J20</f>
        <v>57.132730910545718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183.19570579000001</v>
      </c>
      <c r="C30" s="39">
        <f>IF(ISERROR(B30*3.6/1000000/'E Balans VL '!Z18*100),0,B30*3.6/1000000/'E Balans VL '!Z18*100)</f>
        <v>3.8815242444483221E-2</v>
      </c>
      <c r="D30" s="232" t="s">
        <v>621</v>
      </c>
    </row>
    <row r="31" spans="1:18">
      <c r="A31" s="6" t="s">
        <v>32</v>
      </c>
      <c r="B31" s="37">
        <f>IF( ISERROR(IND_ander_ele_kWh/1000),0,IND_ander_ele_kWh/1000)</f>
        <v>3961.2944837999999</v>
      </c>
      <c r="C31" s="39">
        <f>IF(ISERROR(B31*3.6/1000000/'E Balans VL '!Z19*100),0,B31*3.6/1000000/'E Balans VL '!Z19*100)</f>
        <v>0.16673987959642059</v>
      </c>
      <c r="D31" s="232" t="s">
        <v>621</v>
      </c>
    </row>
    <row r="32" spans="1:18">
      <c r="A32" s="167" t="s">
        <v>40</v>
      </c>
      <c r="B32" s="37">
        <f>IF( ISERROR(IND_voed_ele_kWh/1000),0,IND_voed_ele_kWh/1000)</f>
        <v>234.17999788</v>
      </c>
      <c r="C32" s="39">
        <f>IF(ISERROR(B32*3.6/1000000/'E Balans VL '!Z20*100),0,B32*3.6/1000000/'E Balans VL '!Z20*100)</f>
        <v>3.9122418210301782E-2</v>
      </c>
      <c r="D32" s="232" t="s">
        <v>621</v>
      </c>
    </row>
    <row r="33" spans="1:5">
      <c r="A33" s="167" t="s">
        <v>39</v>
      </c>
      <c r="B33" s="37">
        <f>IF( ISERROR(IND_textiel_ele_kWh/1000),0,IND_textiel_ele_kWh/1000)</f>
        <v>35042.911304000001</v>
      </c>
      <c r="C33" s="39">
        <f>IF(ISERROR(B33*3.6/1000000/'E Balans VL '!Z21*100),0,B33*3.6/1000000/'E Balans VL '!Z21*100)</f>
        <v>2.045910028431273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107.84013331</v>
      </c>
      <c r="C35" s="39">
        <f>IF(ISERROR(B35*3.6/1000000/'E Balans VL '!Z22*100),0,B35*3.6/1000000/'E Balans VL '!Z22*100)</f>
        <v>1.3669318477163765E-2</v>
      </c>
      <c r="D35" s="232" t="s">
        <v>621</v>
      </c>
    </row>
    <row r="36" spans="1:5">
      <c r="A36" s="167" t="s">
        <v>33</v>
      </c>
      <c r="B36" s="37">
        <f>IF( ISERROR(IND_chemie_ele_kWh/1000),0,IND_chemie_ele_kWh/1000)</f>
        <v>182.80675335000001</v>
      </c>
      <c r="C36" s="39">
        <f>IF(ISERROR(B36*3.6/1000000/'E Balans VL '!Z24*100),0,B36*3.6/1000000/'E Balans VL '!Z24*100)</f>
        <v>5.9375692439086556E-3</v>
      </c>
      <c r="D36" s="232" t="s">
        <v>621</v>
      </c>
    </row>
    <row r="37" spans="1:5">
      <c r="A37" s="167" t="s">
        <v>259</v>
      </c>
      <c r="B37" s="37">
        <f>IF( ISERROR(IND_rest_ele_kWh/1000),0,IND_rest_ele_kWh/1000)</f>
        <v>19016.947372999999</v>
      </c>
      <c r="C37" s="39">
        <f>IF(ISERROR(B37*3.6/1000000/'E Balans VL '!Z15*100),0,B37*3.6/1000000/'E Balans VL '!Z15*100)</f>
        <v>0.15353117984175776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396.90900036899995</v>
      </c>
      <c r="C5" s="17">
        <f>'Eigen informatie GS &amp; warmtenet'!B60</f>
        <v>0</v>
      </c>
      <c r="D5" s="30">
        <f>IF(ISERROR(SUM(LB_lb_gas_kWh,LB_rest_gas_kWh)/1000),0,SUM(LB_lb_gas_kWh,LB_rest_gas_kWh)/1000)*0.902</f>
        <v>76.754292036202003</v>
      </c>
      <c r="E5" s="17">
        <f>B17*'E Balans VL '!I25/3.6*1000000/100</f>
        <v>7.8631086419647769</v>
      </c>
      <c r="F5" s="17">
        <f>B17*('E Balans VL '!L25/3.6*1000000+'E Balans VL '!N25/3.6*1000000)/100</f>
        <v>1447.415179447715</v>
      </c>
      <c r="G5" s="18"/>
      <c r="H5" s="17"/>
      <c r="I5" s="17"/>
      <c r="J5" s="17">
        <f>('E Balans VL '!D25+'E Balans VL '!E25)/3.6*1000000*landbouw!B17/100</f>
        <v>94.242187789529538</v>
      </c>
      <c r="K5" s="17"/>
      <c r="L5" s="17">
        <f>L6*(-1)</f>
        <v>0</v>
      </c>
      <c r="M5" s="17"/>
      <c r="N5" s="17">
        <f>N6*(-1)</f>
        <v>0</v>
      </c>
      <c r="O5" s="17"/>
      <c r="P5" s="17"/>
      <c r="R5" s="32"/>
    </row>
    <row r="6" spans="1:18">
      <c r="A6" s="16" t="s">
        <v>477</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396.90900036899995</v>
      </c>
      <c r="C8" s="21">
        <f>C5+C6</f>
        <v>0</v>
      </c>
      <c r="D8" s="21">
        <f>MAX((D5+D6),0)</f>
        <v>76.754292036202003</v>
      </c>
      <c r="E8" s="21">
        <f>MAX((E5+E6),0)</f>
        <v>7.8631086419647769</v>
      </c>
      <c r="F8" s="21">
        <f>MAX((F5+F6),0)</f>
        <v>1447.415179447715</v>
      </c>
      <c r="G8" s="21"/>
      <c r="H8" s="21"/>
      <c r="I8" s="21"/>
      <c r="J8" s="21">
        <f>MAX((J5+J6),0)</f>
        <v>94.242187789529538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0.20941963371371453</v>
      </c>
      <c r="C10" s="31">
        <f ca="1">'EF ele_warmte'!B22</f>
        <v>0.23742128121606954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83.120537474952556</v>
      </c>
      <c r="C12" s="23">
        <f ca="1">C8*C10</f>
        <v>0</v>
      </c>
      <c r="D12" s="23">
        <f>D8*D10</f>
        <v>15.504366991312805</v>
      </c>
      <c r="E12" s="23">
        <f>E8*E10</f>
        <v>1.7849256617260043</v>
      </c>
      <c r="F12" s="23">
        <f>F8*F10</f>
        <v>386.45985291253993</v>
      </c>
      <c r="G12" s="23"/>
      <c r="H12" s="23"/>
      <c r="I12" s="23"/>
      <c r="J12" s="23">
        <f>J8*J10</f>
        <v>33.361734477493457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5.5966798118296218E-2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129.56505177103332</v>
      </c>
      <c r="C26" s="242">
        <f>B26*'GWP N2O_CH4'!B5</f>
        <v>2720.8660871917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20.420931235841088</v>
      </c>
      <c r="C27" s="242">
        <f>B27*'GWP N2O_CH4'!B5</f>
        <v>428.83955595266286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1.9954762155995389</v>
      </c>
      <c r="C28" s="242">
        <f>B28*'GWP N2O_CH4'!B4</f>
        <v>618.59762683585711</v>
      </c>
      <c r="D28" s="50"/>
    </row>
    <row r="29" spans="1:4">
      <c r="A29" s="41" t="s">
        <v>266</v>
      </c>
      <c r="B29" s="242">
        <f>B34*'ha_N2O bodem landbouw'!B4</f>
        <v>9.6486262255449873</v>
      </c>
      <c r="C29" s="242">
        <f>B29*'GWP N2O_CH4'!B4</f>
        <v>2991.0741299189463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2.1714652223489166E-3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7.4749959436795174E-5</v>
      </c>
      <c r="C5" s="427" t="s">
        <v>204</v>
      </c>
      <c r="D5" s="412">
        <f>SUM(D6:D11)</f>
        <v>1.2036947067075964E-4</v>
      </c>
      <c r="E5" s="412">
        <f>SUM(E6:E11)</f>
        <v>5.4074927494052725E-4</v>
      </c>
      <c r="F5" s="425" t="s">
        <v>204</v>
      </c>
      <c r="G5" s="412">
        <f>SUM(G6:G11)</f>
        <v>0.35888354385058291</v>
      </c>
      <c r="H5" s="412">
        <f>SUM(H6:H11)</f>
        <v>4.14656654243706E-2</v>
      </c>
      <c r="I5" s="427" t="s">
        <v>204</v>
      </c>
      <c r="J5" s="427" t="s">
        <v>204</v>
      </c>
      <c r="K5" s="427" t="s">
        <v>204</v>
      </c>
      <c r="L5" s="427" t="s">
        <v>204</v>
      </c>
      <c r="M5" s="412">
        <f>SUM(M6:M11)</f>
        <v>1.2533119141541794E-2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5.0054823096577752E-5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7.8872858540284817E-5</v>
      </c>
      <c r="E6" s="818">
        <f>vkm_GW_PW*SUMIFS(TableVerdeelsleutelVkm[LPG],TableVerdeelsleutelVkm[Voertuigtype],"Lichte voertuigen")*SUMIFS(TableECFTransport[EnergieConsumptieFactor (PJ per km)],TableECFTransport[Index],CONCATENATE($A6,"_LPG_LPG"))</f>
        <v>3.6003602927170045E-4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9.7210428602374582E-2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2.7449358467974042E-2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3.8809103655691414E-3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5.5223324366603934E-6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0.19034852997401233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3.8670924883808248E-6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5.9883883799189902E-3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1.8589961495479844E-5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4.1496612130474819E-5</v>
      </c>
      <c r="E8" s="415">
        <f>vkm_NGW_PW*SUMIFS(TableVerdeelsleutelVkm[LPG],TableVerdeelsleutelVkm[Voertuigtype],"Lichte voertuigen")*SUMIFS(TableECFTransport[EnergieConsumptieFactor (PJ per km)],TableECFTransport[Index],CONCATENATE($A8,"_LPG_LPG"))</f>
        <v>1.8071324566882682E-4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4.5493705297778381E-2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1.4011947223986848E-2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1.8511786689461313E-3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5.828424080771837E-7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2.5830879976417611E-2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4.9263992133105354E-7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8.1264172710753077E-4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20.763877621331993</v>
      </c>
      <c r="C14" s="21"/>
      <c r="D14" s="21">
        <f t="shared" ref="D14:M14" si="0">((D5)*10^9/3600)+D12</f>
        <v>33.435964075211011</v>
      </c>
      <c r="E14" s="21">
        <f t="shared" si="0"/>
        <v>150.20813192792426</v>
      </c>
      <c r="F14" s="21"/>
      <c r="G14" s="21">
        <f t="shared" si="0"/>
        <v>99689.873291828582</v>
      </c>
      <c r="H14" s="21">
        <f t="shared" si="0"/>
        <v>11518.2403956585</v>
      </c>
      <c r="I14" s="21"/>
      <c r="J14" s="21"/>
      <c r="K14" s="21"/>
      <c r="L14" s="21"/>
      <c r="M14" s="21">
        <f t="shared" si="0"/>
        <v>3481.4219837616092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0.20941963371371453</v>
      </c>
      <c r="C16" s="56">
        <f ca="1">'EF ele_warmte'!B22</f>
        <v>0.23742128121606954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4.3483636459357404</v>
      </c>
      <c r="C18" s="23"/>
      <c r="D18" s="23">
        <f t="shared" ref="D18:M18" si="1">D14*D16</f>
        <v>6.7540647431926244</v>
      </c>
      <c r="E18" s="23">
        <f t="shared" si="1"/>
        <v>34.097245947638804</v>
      </c>
      <c r="F18" s="23"/>
      <c r="G18" s="23">
        <f t="shared" si="1"/>
        <v>26617.196168918232</v>
      </c>
      <c r="H18" s="23">
        <f t="shared" si="1"/>
        <v>2868.0418585189664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1.5080560593685452E-5</v>
      </c>
      <c r="C50" s="311">
        <f t="shared" ref="C50:P50" si="2">SUM(C51:C52)</f>
        <v>0</v>
      </c>
      <c r="D50" s="311">
        <f t="shared" si="2"/>
        <v>0</v>
      </c>
      <c r="E50" s="311">
        <f t="shared" si="2"/>
        <v>0</v>
      </c>
      <c r="F50" s="311">
        <f t="shared" si="2"/>
        <v>0</v>
      </c>
      <c r="G50" s="311">
        <f t="shared" si="2"/>
        <v>2.6888958814013176E-3</v>
      </c>
      <c r="H50" s="311">
        <f t="shared" si="2"/>
        <v>0</v>
      </c>
      <c r="I50" s="311">
        <f t="shared" si="2"/>
        <v>0</v>
      </c>
      <c r="J50" s="311">
        <f t="shared" si="2"/>
        <v>0</v>
      </c>
      <c r="K50" s="311">
        <f t="shared" si="2"/>
        <v>0</v>
      </c>
      <c r="L50" s="311">
        <f t="shared" si="2"/>
        <v>0</v>
      </c>
      <c r="M50" s="311">
        <f t="shared" si="2"/>
        <v>8.3936910930029789E-5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1.5080560593685452E-5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2.6888958814013176E-3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8.3936910930029789E-5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4.1890446093570697</v>
      </c>
      <c r="C54" s="21">
        <f t="shared" ref="C54:P54" si="3">(C50)*10^9/3600</f>
        <v>0</v>
      </c>
      <c r="D54" s="21">
        <f t="shared" si="3"/>
        <v>0</v>
      </c>
      <c r="E54" s="21">
        <f t="shared" si="3"/>
        <v>0</v>
      </c>
      <c r="F54" s="21">
        <f t="shared" si="3"/>
        <v>0</v>
      </c>
      <c r="G54" s="21">
        <f t="shared" si="3"/>
        <v>746.91552261147717</v>
      </c>
      <c r="H54" s="21">
        <f t="shared" si="3"/>
        <v>0</v>
      </c>
      <c r="I54" s="21">
        <f t="shared" si="3"/>
        <v>0</v>
      </c>
      <c r="J54" s="21">
        <f t="shared" si="3"/>
        <v>0</v>
      </c>
      <c r="K54" s="21">
        <f t="shared" si="3"/>
        <v>0</v>
      </c>
      <c r="L54" s="21">
        <f t="shared" si="3"/>
        <v>0</v>
      </c>
      <c r="M54" s="21">
        <f t="shared" si="3"/>
        <v>23.315808591674941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0.20941963371371453</v>
      </c>
      <c r="C56" s="56">
        <f ca="1">'EF ele_warmte'!B22</f>
        <v>0.23742128121606954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0.87726818770196791</v>
      </c>
      <c r="C58" s="23">
        <f t="shared" ref="C58:P58" ca="1" si="4">C54*C56</f>
        <v>0</v>
      </c>
      <c r="D58" s="23">
        <f t="shared" si="4"/>
        <v>0</v>
      </c>
      <c r="E58" s="23">
        <f t="shared" si="4"/>
        <v>0</v>
      </c>
      <c r="F58" s="23">
        <f t="shared" si="4"/>
        <v>0</v>
      </c>
      <c r="G58" s="23">
        <f t="shared" si="4"/>
        <v>199.42644453726442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7035.539077755705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643.49999999999989</v>
      </c>
      <c r="C8" s="534">
        <f>B49</f>
        <v>756.3395765472311</v>
      </c>
      <c r="D8" s="961"/>
      <c r="E8" s="961">
        <f>E49</f>
        <v>0</v>
      </c>
      <c r="F8" s="962"/>
      <c r="G8" s="535"/>
      <c r="H8" s="961">
        <f>I49</f>
        <v>0</v>
      </c>
      <c r="I8" s="961">
        <f>G49+F49</f>
        <v>0</v>
      </c>
      <c r="J8" s="961">
        <f>H49+D49+C49</f>
        <v>0</v>
      </c>
      <c r="K8" s="961"/>
      <c r="L8" s="961"/>
      <c r="M8" s="961"/>
      <c r="N8" s="536"/>
      <c r="O8" s="537">
        <f>C8*$C$12+D8*$D$12+E8*$E$12+F8*$F$12+G8*$G$12+H8*$H$12+I8*$I$12+J8*$J$12</f>
        <v>152.78059446254071</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7679.039077755705</v>
      </c>
      <c r="C10" s="547">
        <f t="shared" ref="C10:L10" si="0">SUM(C8:C9)</f>
        <v>756.3395765472311</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152.78059446254071</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935.35714285714266</v>
      </c>
      <c r="C17" s="559">
        <f>B50</f>
        <v>1099.3747091670543</v>
      </c>
      <c r="D17" s="560"/>
      <c r="E17" s="560">
        <f>E50</f>
        <v>0</v>
      </c>
      <c r="F17" s="967"/>
      <c r="G17" s="561"/>
      <c r="H17" s="559">
        <f>I50</f>
        <v>0</v>
      </c>
      <c r="I17" s="560">
        <f>G50+F50</f>
        <v>0</v>
      </c>
      <c r="J17" s="560">
        <f>H50+D50+C50</f>
        <v>0</v>
      </c>
      <c r="K17" s="560"/>
      <c r="L17" s="560"/>
      <c r="M17" s="560"/>
      <c r="N17" s="968"/>
      <c r="O17" s="562">
        <f>C17*$C$22+E17*$E$22+H17*$H$22+I17*$I$22+J17*$J$22+D17*$D$22+F17*$F$22+G17*$G$22+K17*$K$22+L17*$L$22</f>
        <v>222.073691251745</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935.35714285714266</v>
      </c>
      <c r="C20" s="546">
        <f>SUM(C17:C19)</f>
        <v>1099.3747091670543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222.073691251745</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45041</v>
      </c>
      <c r="C28" s="724">
        <v>9600</v>
      </c>
      <c r="D28" s="617"/>
      <c r="E28" s="616"/>
      <c r="F28" s="616"/>
      <c r="G28" s="616" t="s">
        <v>887</v>
      </c>
      <c r="H28" s="616" t="s">
        <v>887</v>
      </c>
      <c r="I28" s="616"/>
      <c r="J28" s="723"/>
      <c r="K28" s="723"/>
      <c r="L28" s="616" t="s">
        <v>888</v>
      </c>
      <c r="M28" s="616">
        <v>1</v>
      </c>
      <c r="N28" s="616">
        <v>4.5</v>
      </c>
      <c r="O28" s="616">
        <v>22.5</v>
      </c>
      <c r="P28" s="616">
        <v>30</v>
      </c>
      <c r="Q28" s="616">
        <v>0</v>
      </c>
      <c r="R28" s="616">
        <v>0</v>
      </c>
      <c r="S28" s="616">
        <v>0</v>
      </c>
      <c r="T28" s="616">
        <v>0</v>
      </c>
      <c r="U28" s="616">
        <v>0</v>
      </c>
      <c r="V28" s="616">
        <v>0</v>
      </c>
      <c r="W28" s="616">
        <v>0</v>
      </c>
      <c r="X28" s="616"/>
      <c r="Y28" s="616">
        <v>1300</v>
      </c>
      <c r="Z28" s="616" t="s">
        <v>53</v>
      </c>
      <c r="AA28" s="618" t="s">
        <v>149</v>
      </c>
    </row>
    <row r="29" spans="1:27" s="570" customFormat="1" ht="51" hidden="1">
      <c r="A29" s="569"/>
      <c r="B29" s="724">
        <v>45041</v>
      </c>
      <c r="C29" s="724">
        <v>9600</v>
      </c>
      <c r="D29" s="617"/>
      <c r="E29" s="616"/>
      <c r="F29" s="616"/>
      <c r="G29" s="616" t="s">
        <v>889</v>
      </c>
      <c r="H29" s="616" t="s">
        <v>890</v>
      </c>
      <c r="I29" s="616"/>
      <c r="J29" s="723"/>
      <c r="K29" s="723"/>
      <c r="L29" s="616" t="s">
        <v>888</v>
      </c>
      <c r="M29" s="616">
        <v>142</v>
      </c>
      <c r="N29" s="616">
        <v>638.99999999999989</v>
      </c>
      <c r="O29" s="616">
        <v>912.85714285714266</v>
      </c>
      <c r="P29" s="616">
        <v>1825.7142857142856</v>
      </c>
      <c r="Q29" s="616">
        <v>0</v>
      </c>
      <c r="R29" s="616">
        <v>0</v>
      </c>
      <c r="S29" s="616">
        <v>0</v>
      </c>
      <c r="T29" s="616">
        <v>0</v>
      </c>
      <c r="U29" s="616">
        <v>0</v>
      </c>
      <c r="V29" s="616">
        <v>0</v>
      </c>
      <c r="W29" s="616">
        <v>0</v>
      </c>
      <c r="X29" s="616"/>
      <c r="Y29" s="616">
        <v>1500</v>
      </c>
      <c r="Z29" s="616" t="s">
        <v>50</v>
      </c>
      <c r="AA29" s="618" t="s">
        <v>149</v>
      </c>
    </row>
    <row r="30" spans="1:27" s="554" customFormat="1" hidden="1">
      <c r="A30" s="572" t="s">
        <v>269</v>
      </c>
      <c r="B30" s="573"/>
      <c r="C30" s="573"/>
      <c r="D30" s="573"/>
      <c r="E30" s="573"/>
      <c r="F30" s="573"/>
      <c r="G30" s="573"/>
      <c r="H30" s="573"/>
      <c r="I30" s="573"/>
      <c r="J30" s="573"/>
      <c r="K30" s="573"/>
      <c r="L30" s="574"/>
      <c r="M30" s="574">
        <f>SUM(M28:M29)</f>
        <v>143</v>
      </c>
      <c r="N30" s="574">
        <f>SUM(N28:N29)</f>
        <v>643.49999999999989</v>
      </c>
      <c r="O30" s="574">
        <f>SUM(O28:O29)</f>
        <v>935.35714285714266</v>
      </c>
      <c r="P30" s="574">
        <f>SUM(P28:P29)</f>
        <v>1855.7142857142856</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143</v>
      </c>
      <c r="N32" s="574">
        <f ca="1">SUMIF($AA$28:AE29,"tertiair",N28:N29)</f>
        <v>643.49999999999989</v>
      </c>
      <c r="O32" s="574">
        <f ca="1">SUMIF($AA$28:AF29,"tertiair",O28:O29)</f>
        <v>935.35714285714266</v>
      </c>
      <c r="P32" s="574">
        <f ca="1">SUMIF($AA$28:AG29,"tertiair",P28:P29)</f>
        <v>1855.7142857142856</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0.59242671009771986</v>
      </c>
      <c r="C46" s="599">
        <f>IF(ISERROR(N30/(O30+N30)),0,N30/(N30+O30))</f>
        <v>0.40757328990228009</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756.3395765472311</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1099.3747091670543</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35755.119316770004</v>
      </c>
      <c r="D10" s="930">
        <f ca="1">tertiair!C16</f>
        <v>935.35714285714266</v>
      </c>
      <c r="E10" s="930">
        <f ca="1">tertiair!D16</f>
        <v>45233.885721104321</v>
      </c>
      <c r="F10" s="930">
        <f>tertiair!E16</f>
        <v>495.6243215042096</v>
      </c>
      <c r="G10" s="930">
        <f ca="1">tertiair!F16</f>
        <v>6574.9844953886923</v>
      </c>
      <c r="H10" s="930">
        <f>tertiair!G16</f>
        <v>0</v>
      </c>
      <c r="I10" s="930">
        <f>tertiair!H16</f>
        <v>0</v>
      </c>
      <c r="J10" s="930">
        <f>tertiair!I16</f>
        <v>0</v>
      </c>
      <c r="K10" s="930">
        <f>tertiair!J16</f>
        <v>3.821531233328649E-2</v>
      </c>
      <c r="L10" s="930">
        <f>tertiair!K16</f>
        <v>0</v>
      </c>
      <c r="M10" s="930">
        <f ca="1">tertiair!L16</f>
        <v>0</v>
      </c>
      <c r="N10" s="930">
        <f>tertiair!M16</f>
        <v>0</v>
      </c>
      <c r="O10" s="930">
        <f ca="1">tertiair!N16</f>
        <v>1424.3856668512012</v>
      </c>
      <c r="P10" s="930">
        <f>tertiair!O16</f>
        <v>0</v>
      </c>
      <c r="Q10" s="931">
        <f>tertiair!P16</f>
        <v>0</v>
      </c>
      <c r="R10" s="628">
        <f ca="1">SUM(C10:Q10)</f>
        <v>90419.394879787898</v>
      </c>
      <c r="S10" s="67"/>
    </row>
    <row r="11" spans="1:19" s="437" customFormat="1">
      <c r="A11" s="736" t="s">
        <v>214</v>
      </c>
      <c r="B11" s="741"/>
      <c r="C11" s="930">
        <f>huishoudens!B8</f>
        <v>36645.174831153694</v>
      </c>
      <c r="D11" s="930">
        <f>huishoudens!C8</f>
        <v>0</v>
      </c>
      <c r="E11" s="930">
        <f>huishoudens!D8</f>
        <v>98452.881544160002</v>
      </c>
      <c r="F11" s="930">
        <f>huishoudens!E8</f>
        <v>1563.3347588376894</v>
      </c>
      <c r="G11" s="930">
        <f>huishoudens!F8</f>
        <v>42503.977672306966</v>
      </c>
      <c r="H11" s="930">
        <f>huishoudens!G8</f>
        <v>0</v>
      </c>
      <c r="I11" s="930">
        <f>huishoudens!H8</f>
        <v>0</v>
      </c>
      <c r="J11" s="930">
        <f>huishoudens!I8</f>
        <v>0</v>
      </c>
      <c r="K11" s="930">
        <f>huishoudens!J8</f>
        <v>783.84926568278627</v>
      </c>
      <c r="L11" s="930">
        <f>huishoudens!K8</f>
        <v>0</v>
      </c>
      <c r="M11" s="930">
        <f>huishoudens!L8</f>
        <v>0</v>
      </c>
      <c r="N11" s="930">
        <f>huishoudens!M8</f>
        <v>0</v>
      </c>
      <c r="O11" s="930">
        <f>huishoudens!N8</f>
        <v>13311.079489561893</v>
      </c>
      <c r="P11" s="930">
        <f>huishoudens!O8</f>
        <v>146.95333333333335</v>
      </c>
      <c r="Q11" s="931">
        <f>huishoudens!P8</f>
        <v>457.6</v>
      </c>
      <c r="R11" s="628">
        <f>SUM(C11:Q11)</f>
        <v>193864.85089503636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58729.175751129995</v>
      </c>
      <c r="D13" s="930">
        <f>industrie!C18</f>
        <v>0</v>
      </c>
      <c r="E13" s="930">
        <f>industrie!D18</f>
        <v>90508.731777974841</v>
      </c>
      <c r="F13" s="930">
        <f>industrie!E18</f>
        <v>2152.5854913760986</v>
      </c>
      <c r="G13" s="930">
        <f>industrie!F18</f>
        <v>9550.185607810412</v>
      </c>
      <c r="H13" s="930">
        <f>industrie!G18</f>
        <v>0</v>
      </c>
      <c r="I13" s="930">
        <f>industrie!H18</f>
        <v>0</v>
      </c>
      <c r="J13" s="930">
        <f>industrie!I18</f>
        <v>0</v>
      </c>
      <c r="K13" s="930">
        <f>industrie!J18</f>
        <v>161.39189522753028</v>
      </c>
      <c r="L13" s="930">
        <f>industrie!K18</f>
        <v>0</v>
      </c>
      <c r="M13" s="930">
        <f>industrie!L18</f>
        <v>0</v>
      </c>
      <c r="N13" s="930">
        <f>industrie!M18</f>
        <v>0</v>
      </c>
      <c r="O13" s="930">
        <f>industrie!N18</f>
        <v>1577.0931427198557</v>
      </c>
      <c r="P13" s="930">
        <f>industrie!O18</f>
        <v>0</v>
      </c>
      <c r="Q13" s="931">
        <f>industrie!P18</f>
        <v>0</v>
      </c>
      <c r="R13" s="628">
        <f>SUM(C13:Q13)</f>
        <v>162679.16366623875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131129.46989905369</v>
      </c>
      <c r="D16" s="660">
        <f t="shared" ref="D16:R16" ca="1" si="0">SUM(D9:D15)</f>
        <v>935.35714285714266</v>
      </c>
      <c r="E16" s="660">
        <f t="shared" ca="1" si="0"/>
        <v>234195.49904323916</v>
      </c>
      <c r="F16" s="660">
        <f t="shared" si="0"/>
        <v>4211.5445717179973</v>
      </c>
      <c r="G16" s="660">
        <f t="shared" ca="1" si="0"/>
        <v>58629.14777550607</v>
      </c>
      <c r="H16" s="660">
        <f t="shared" si="0"/>
        <v>0</v>
      </c>
      <c r="I16" s="660">
        <f t="shared" si="0"/>
        <v>0</v>
      </c>
      <c r="J16" s="660">
        <f t="shared" si="0"/>
        <v>0</v>
      </c>
      <c r="K16" s="660">
        <f t="shared" si="0"/>
        <v>945.27937622264983</v>
      </c>
      <c r="L16" s="660">
        <f t="shared" si="0"/>
        <v>0</v>
      </c>
      <c r="M16" s="660">
        <f t="shared" ca="1" si="0"/>
        <v>0</v>
      </c>
      <c r="N16" s="660">
        <f t="shared" si="0"/>
        <v>0</v>
      </c>
      <c r="O16" s="660">
        <f t="shared" ca="1" si="0"/>
        <v>16312.55829913295</v>
      </c>
      <c r="P16" s="660">
        <f t="shared" si="0"/>
        <v>146.95333333333335</v>
      </c>
      <c r="Q16" s="660">
        <f t="shared" si="0"/>
        <v>457.6</v>
      </c>
      <c r="R16" s="660">
        <f t="shared" ca="1" si="0"/>
        <v>446963.40944106306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4.1890446093570697</v>
      </c>
      <c r="D19" s="930">
        <f>transport!C54</f>
        <v>0</v>
      </c>
      <c r="E19" s="930">
        <f>transport!D54</f>
        <v>0</v>
      </c>
      <c r="F19" s="930">
        <f>transport!E54</f>
        <v>0</v>
      </c>
      <c r="G19" s="930">
        <f>transport!F54</f>
        <v>0</v>
      </c>
      <c r="H19" s="930">
        <f>transport!G54</f>
        <v>746.91552261147717</v>
      </c>
      <c r="I19" s="930">
        <f>transport!H54</f>
        <v>0</v>
      </c>
      <c r="J19" s="930">
        <f>transport!I54</f>
        <v>0</v>
      </c>
      <c r="K19" s="930">
        <f>transport!J54</f>
        <v>0</v>
      </c>
      <c r="L19" s="930">
        <f>transport!K54</f>
        <v>0</v>
      </c>
      <c r="M19" s="930">
        <f>transport!L54</f>
        <v>0</v>
      </c>
      <c r="N19" s="930">
        <f>transport!M54</f>
        <v>23.315808591674941</v>
      </c>
      <c r="O19" s="930">
        <f>transport!N54</f>
        <v>0</v>
      </c>
      <c r="P19" s="930">
        <f>transport!O54</f>
        <v>0</v>
      </c>
      <c r="Q19" s="931">
        <f>transport!P54</f>
        <v>0</v>
      </c>
      <c r="R19" s="628">
        <f>SUM(C19:Q19)</f>
        <v>774.42037581250918</v>
      </c>
      <c r="S19" s="67"/>
    </row>
    <row r="20" spans="1:19" s="437" customFormat="1">
      <c r="A20" s="736" t="s">
        <v>296</v>
      </c>
      <c r="B20" s="741"/>
      <c r="C20" s="930">
        <f>transport!B14</f>
        <v>20.763877621331993</v>
      </c>
      <c r="D20" s="930">
        <f>transport!C14</f>
        <v>0</v>
      </c>
      <c r="E20" s="930">
        <f>transport!D14</f>
        <v>33.435964075211011</v>
      </c>
      <c r="F20" s="930">
        <f>transport!E14</f>
        <v>150.20813192792426</v>
      </c>
      <c r="G20" s="930">
        <f>transport!F14</f>
        <v>0</v>
      </c>
      <c r="H20" s="930">
        <f>transport!G14</f>
        <v>99689.873291828582</v>
      </c>
      <c r="I20" s="930">
        <f>transport!H14</f>
        <v>11518.2403956585</v>
      </c>
      <c r="J20" s="930">
        <f>transport!I14</f>
        <v>0</v>
      </c>
      <c r="K20" s="930">
        <f>transport!J14</f>
        <v>0</v>
      </c>
      <c r="L20" s="930">
        <f>transport!K14</f>
        <v>0</v>
      </c>
      <c r="M20" s="930">
        <f>transport!L14</f>
        <v>0</v>
      </c>
      <c r="N20" s="930">
        <f>transport!M14</f>
        <v>3481.4219837616092</v>
      </c>
      <c r="O20" s="930">
        <f>transport!N14</f>
        <v>0</v>
      </c>
      <c r="P20" s="930">
        <f>transport!O14</f>
        <v>0</v>
      </c>
      <c r="Q20" s="931">
        <f>transport!P14</f>
        <v>0</v>
      </c>
      <c r="R20" s="628">
        <f>SUM(C20:Q20)</f>
        <v>114893.94364487316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24.952922230689062</v>
      </c>
      <c r="D22" s="739">
        <f t="shared" ref="D22:R22" si="1">SUM(D18:D21)</f>
        <v>0</v>
      </c>
      <c r="E22" s="739">
        <f t="shared" si="1"/>
        <v>33.435964075211011</v>
      </c>
      <c r="F22" s="739">
        <f t="shared" si="1"/>
        <v>150.20813192792426</v>
      </c>
      <c r="G22" s="739">
        <f t="shared" si="1"/>
        <v>0</v>
      </c>
      <c r="H22" s="739">
        <f t="shared" si="1"/>
        <v>100436.78881444006</v>
      </c>
      <c r="I22" s="739">
        <f t="shared" si="1"/>
        <v>11518.2403956585</v>
      </c>
      <c r="J22" s="739">
        <f t="shared" si="1"/>
        <v>0</v>
      </c>
      <c r="K22" s="739">
        <f t="shared" si="1"/>
        <v>0</v>
      </c>
      <c r="L22" s="739">
        <f t="shared" si="1"/>
        <v>0</v>
      </c>
      <c r="M22" s="739">
        <f t="shared" si="1"/>
        <v>0</v>
      </c>
      <c r="N22" s="739">
        <f t="shared" si="1"/>
        <v>3504.737792353284</v>
      </c>
      <c r="O22" s="739">
        <f t="shared" si="1"/>
        <v>0</v>
      </c>
      <c r="P22" s="739">
        <f t="shared" si="1"/>
        <v>0</v>
      </c>
      <c r="Q22" s="739">
        <f t="shared" si="1"/>
        <v>0</v>
      </c>
      <c r="R22" s="739">
        <f t="shared" si="1"/>
        <v>115668.36402068567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396.90900036899995</v>
      </c>
      <c r="D24" s="930">
        <f>+landbouw!C8</f>
        <v>0</v>
      </c>
      <c r="E24" s="930">
        <f>+landbouw!D8</f>
        <v>76.754292036202003</v>
      </c>
      <c r="F24" s="930">
        <f>+landbouw!E8</f>
        <v>7.8631086419647769</v>
      </c>
      <c r="G24" s="930">
        <f>+landbouw!F8</f>
        <v>1447.415179447715</v>
      </c>
      <c r="H24" s="930">
        <f>+landbouw!G8</f>
        <v>0</v>
      </c>
      <c r="I24" s="930">
        <f>+landbouw!H8</f>
        <v>0</v>
      </c>
      <c r="J24" s="930">
        <f>+landbouw!I8</f>
        <v>0</v>
      </c>
      <c r="K24" s="930">
        <f>+landbouw!J8</f>
        <v>94.242187789529538</v>
      </c>
      <c r="L24" s="930">
        <f>+landbouw!K8</f>
        <v>0</v>
      </c>
      <c r="M24" s="930">
        <f>+landbouw!L8</f>
        <v>0</v>
      </c>
      <c r="N24" s="930">
        <f>+landbouw!M8</f>
        <v>0</v>
      </c>
      <c r="O24" s="930">
        <f>+landbouw!N8</f>
        <v>0</v>
      </c>
      <c r="P24" s="930">
        <f>+landbouw!O8</f>
        <v>0</v>
      </c>
      <c r="Q24" s="931">
        <f>+landbouw!P8</f>
        <v>0</v>
      </c>
      <c r="R24" s="628">
        <f>SUM(C24:Q24)</f>
        <v>2023.1837682844111</v>
      </c>
      <c r="S24" s="67"/>
    </row>
    <row r="25" spans="1:19" s="437" customFormat="1" ht="15" thickBot="1">
      <c r="A25" s="758" t="s">
        <v>788</v>
      </c>
      <c r="B25" s="933"/>
      <c r="C25" s="934">
        <f>IF(Onbekend_ele_kWh="---",0,Onbekend_ele_kWh)/1000+IF(REST_rest_ele_kWh="---",0,REST_rest_ele_kWh)/1000</f>
        <v>1802.5711157999999</v>
      </c>
      <c r="D25" s="934"/>
      <c r="E25" s="934">
        <f>IF(onbekend_gas_kWh="---",0,onbekend_gas_kWh)/1000+IF(REST_rest_gas_kWh="---",0,REST_rest_gas_kWh)/1000</f>
        <v>6534.3438794000003</v>
      </c>
      <c r="F25" s="934"/>
      <c r="G25" s="934"/>
      <c r="H25" s="934"/>
      <c r="I25" s="934"/>
      <c r="J25" s="934"/>
      <c r="K25" s="934"/>
      <c r="L25" s="934"/>
      <c r="M25" s="934"/>
      <c r="N25" s="934"/>
      <c r="O25" s="934"/>
      <c r="P25" s="934"/>
      <c r="Q25" s="935"/>
      <c r="R25" s="628">
        <f>SUM(C25:Q25)</f>
        <v>8336.9149952000007</v>
      </c>
      <c r="S25" s="67"/>
    </row>
    <row r="26" spans="1:19" s="437" customFormat="1" ht="15.75" thickBot="1">
      <c r="A26" s="633" t="s">
        <v>789</v>
      </c>
      <c r="B26" s="744"/>
      <c r="C26" s="739">
        <f>SUM(C24:C25)</f>
        <v>2199.4801161689998</v>
      </c>
      <c r="D26" s="739">
        <f t="shared" ref="D26:R26" si="2">SUM(D24:D25)</f>
        <v>0</v>
      </c>
      <c r="E26" s="739">
        <f t="shared" si="2"/>
        <v>6611.0981714362024</v>
      </c>
      <c r="F26" s="739">
        <f t="shared" si="2"/>
        <v>7.8631086419647769</v>
      </c>
      <c r="G26" s="739">
        <f t="shared" si="2"/>
        <v>1447.415179447715</v>
      </c>
      <c r="H26" s="739">
        <f t="shared" si="2"/>
        <v>0</v>
      </c>
      <c r="I26" s="739">
        <f t="shared" si="2"/>
        <v>0</v>
      </c>
      <c r="J26" s="739">
        <f t="shared" si="2"/>
        <v>0</v>
      </c>
      <c r="K26" s="739">
        <f t="shared" si="2"/>
        <v>94.242187789529538</v>
      </c>
      <c r="L26" s="739">
        <f t="shared" si="2"/>
        <v>0</v>
      </c>
      <c r="M26" s="739">
        <f t="shared" si="2"/>
        <v>0</v>
      </c>
      <c r="N26" s="739">
        <f t="shared" si="2"/>
        <v>0</v>
      </c>
      <c r="O26" s="739">
        <f t="shared" si="2"/>
        <v>0</v>
      </c>
      <c r="P26" s="739">
        <f t="shared" si="2"/>
        <v>0</v>
      </c>
      <c r="Q26" s="739">
        <f t="shared" si="2"/>
        <v>0</v>
      </c>
      <c r="R26" s="739">
        <f t="shared" si="2"/>
        <v>10360.098763484411</v>
      </c>
      <c r="S26" s="67"/>
    </row>
    <row r="27" spans="1:19" s="437" customFormat="1" ht="17.25" thickTop="1" thickBot="1">
      <c r="A27" s="634" t="s">
        <v>109</v>
      </c>
      <c r="B27" s="732"/>
      <c r="C27" s="635">
        <f ca="1">C22+C16+C26</f>
        <v>133353.90293745339</v>
      </c>
      <c r="D27" s="635">
        <f t="shared" ref="D27:R27" ca="1" si="3">D22+D16+D26</f>
        <v>935.35714285714266</v>
      </c>
      <c r="E27" s="635">
        <f t="shared" ca="1" si="3"/>
        <v>240840.03317875057</v>
      </c>
      <c r="F27" s="635">
        <f t="shared" si="3"/>
        <v>4369.615812287886</v>
      </c>
      <c r="G27" s="635">
        <f t="shared" ca="1" si="3"/>
        <v>60076.562954953784</v>
      </c>
      <c r="H27" s="635">
        <f t="shared" si="3"/>
        <v>100436.78881444006</v>
      </c>
      <c r="I27" s="635">
        <f t="shared" si="3"/>
        <v>11518.2403956585</v>
      </c>
      <c r="J27" s="635">
        <f t="shared" si="3"/>
        <v>0</v>
      </c>
      <c r="K27" s="635">
        <f t="shared" si="3"/>
        <v>1039.5215640121794</v>
      </c>
      <c r="L27" s="635">
        <f t="shared" si="3"/>
        <v>0</v>
      </c>
      <c r="M27" s="635">
        <f t="shared" ca="1" si="3"/>
        <v>0</v>
      </c>
      <c r="N27" s="635">
        <f t="shared" si="3"/>
        <v>3504.737792353284</v>
      </c>
      <c r="O27" s="635">
        <f t="shared" ca="1" si="3"/>
        <v>16312.55829913295</v>
      </c>
      <c r="P27" s="635">
        <f t="shared" si="3"/>
        <v>146.95333333333335</v>
      </c>
      <c r="Q27" s="635">
        <f t="shared" si="3"/>
        <v>457.6</v>
      </c>
      <c r="R27" s="635">
        <f t="shared" ca="1" si="3"/>
        <v>572991.87222523312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7487.8239907081334</v>
      </c>
      <c r="D40" s="930">
        <f ca="1">tertiair!C20</f>
        <v>222.073691251745</v>
      </c>
      <c r="E40" s="930">
        <f ca="1">tertiair!D20</f>
        <v>9137.2449156630737</v>
      </c>
      <c r="F40" s="930">
        <f>tertiair!E20</f>
        <v>112.50672098145559</v>
      </c>
      <c r="G40" s="930">
        <f ca="1">tertiair!F20</f>
        <v>1755.520860268781</v>
      </c>
      <c r="H40" s="930">
        <f>tertiair!G20</f>
        <v>0</v>
      </c>
      <c r="I40" s="930">
        <f>tertiair!H20</f>
        <v>0</v>
      </c>
      <c r="J40" s="930">
        <f>tertiair!I20</f>
        <v>0</v>
      </c>
      <c r="K40" s="930">
        <f>tertiair!J20</f>
        <v>1.3528220565983417E-2</v>
      </c>
      <c r="L40" s="930">
        <f>tertiair!K20</f>
        <v>0</v>
      </c>
      <c r="M40" s="930">
        <f ca="1">tertiair!L20</f>
        <v>0</v>
      </c>
      <c r="N40" s="930">
        <f>tertiair!M20</f>
        <v>0</v>
      </c>
      <c r="O40" s="930">
        <f ca="1">tertiair!N20</f>
        <v>0</v>
      </c>
      <c r="P40" s="930">
        <f>tertiair!O20</f>
        <v>0</v>
      </c>
      <c r="Q40" s="702">
        <f>tertiair!P20</f>
        <v>0</v>
      </c>
      <c r="R40" s="777">
        <f t="shared" ca="1" si="4"/>
        <v>18715.183707093754</v>
      </c>
    </row>
    <row r="41" spans="1:18">
      <c r="A41" s="749" t="s">
        <v>214</v>
      </c>
      <c r="B41" s="756"/>
      <c r="C41" s="930">
        <f ca="1">huishoudens!B12</f>
        <v>7674.2190905152374</v>
      </c>
      <c r="D41" s="930">
        <f ca="1">huishoudens!C12</f>
        <v>0</v>
      </c>
      <c r="E41" s="930">
        <f>huishoudens!D12</f>
        <v>19887.48207192032</v>
      </c>
      <c r="F41" s="930">
        <f>huishoudens!E12</f>
        <v>354.87699025615552</v>
      </c>
      <c r="G41" s="930">
        <f>huishoudens!F12</f>
        <v>11348.562038505961</v>
      </c>
      <c r="H41" s="930">
        <f>huishoudens!G12</f>
        <v>0</v>
      </c>
      <c r="I41" s="930">
        <f>huishoudens!H12</f>
        <v>0</v>
      </c>
      <c r="J41" s="930">
        <f>huishoudens!I12</f>
        <v>0</v>
      </c>
      <c r="K41" s="930">
        <f>huishoudens!J12</f>
        <v>277.48264005170631</v>
      </c>
      <c r="L41" s="930">
        <f>huishoudens!K12</f>
        <v>0</v>
      </c>
      <c r="M41" s="930">
        <f>huishoudens!L12</f>
        <v>0</v>
      </c>
      <c r="N41" s="930">
        <f>huishoudens!M12</f>
        <v>0</v>
      </c>
      <c r="O41" s="930">
        <f>huishoudens!N12</f>
        <v>0</v>
      </c>
      <c r="P41" s="930">
        <f>huishoudens!O12</f>
        <v>0</v>
      </c>
      <c r="Q41" s="702">
        <f>huishoudens!P12</f>
        <v>0</v>
      </c>
      <c r="R41" s="777">
        <f t="shared" ca="1" si="4"/>
        <v>39542.622831249377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12299.042474110009</v>
      </c>
      <c r="D43" s="930">
        <f ca="1">industrie!C22</f>
        <v>0</v>
      </c>
      <c r="E43" s="930">
        <f>industrie!D22</f>
        <v>18282.763819150918</v>
      </c>
      <c r="F43" s="930">
        <f>industrie!E22</f>
        <v>488.63690654237439</v>
      </c>
      <c r="G43" s="930">
        <f>industrie!F22</f>
        <v>2549.8995572853801</v>
      </c>
      <c r="H43" s="930">
        <f>industrie!G22</f>
        <v>0</v>
      </c>
      <c r="I43" s="930">
        <f>industrie!H22</f>
        <v>0</v>
      </c>
      <c r="J43" s="930">
        <f>industrie!I22</f>
        <v>0</v>
      </c>
      <c r="K43" s="930">
        <f>industrie!J22</f>
        <v>57.132730910545718</v>
      </c>
      <c r="L43" s="930">
        <f>industrie!K22</f>
        <v>0</v>
      </c>
      <c r="M43" s="930">
        <f>industrie!L22</f>
        <v>0</v>
      </c>
      <c r="N43" s="930">
        <f>industrie!M22</f>
        <v>0</v>
      </c>
      <c r="O43" s="930">
        <f>industrie!N22</f>
        <v>0</v>
      </c>
      <c r="P43" s="930">
        <f>industrie!O22</f>
        <v>0</v>
      </c>
      <c r="Q43" s="702">
        <f>industrie!P22</f>
        <v>0</v>
      </c>
      <c r="R43" s="776">
        <f t="shared" ca="1" si="4"/>
        <v>33677.475487999225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27461.085555333382</v>
      </c>
      <c r="D46" s="660">
        <f t="shared" ref="D46:Q46" ca="1" si="5">SUM(D39:D45)</f>
        <v>222.073691251745</v>
      </c>
      <c r="E46" s="660">
        <f t="shared" ca="1" si="5"/>
        <v>47307.490806734313</v>
      </c>
      <c r="F46" s="660">
        <f t="shared" si="5"/>
        <v>956.02061777998551</v>
      </c>
      <c r="G46" s="660">
        <f t="shared" ca="1" si="5"/>
        <v>15653.982456060123</v>
      </c>
      <c r="H46" s="660">
        <f t="shared" si="5"/>
        <v>0</v>
      </c>
      <c r="I46" s="660">
        <f t="shared" si="5"/>
        <v>0</v>
      </c>
      <c r="J46" s="660">
        <f t="shared" si="5"/>
        <v>0</v>
      </c>
      <c r="K46" s="660">
        <f t="shared" si="5"/>
        <v>334.62889918281803</v>
      </c>
      <c r="L46" s="660">
        <f t="shared" si="5"/>
        <v>0</v>
      </c>
      <c r="M46" s="660">
        <f t="shared" ca="1" si="5"/>
        <v>0</v>
      </c>
      <c r="N46" s="660">
        <f t="shared" si="5"/>
        <v>0</v>
      </c>
      <c r="O46" s="660">
        <f t="shared" ca="1" si="5"/>
        <v>0</v>
      </c>
      <c r="P46" s="660">
        <f t="shared" si="5"/>
        <v>0</v>
      </c>
      <c r="Q46" s="660">
        <f t="shared" si="5"/>
        <v>0</v>
      </c>
      <c r="R46" s="660">
        <f ca="1">SUM(R39:R45)</f>
        <v>91935.282026342349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0.87726818770196791</v>
      </c>
      <c r="D49" s="930">
        <f ca="1">transport!C58</f>
        <v>0</v>
      </c>
      <c r="E49" s="930">
        <f>transport!D58</f>
        <v>0</v>
      </c>
      <c r="F49" s="930">
        <f>transport!E58</f>
        <v>0</v>
      </c>
      <c r="G49" s="930">
        <f>transport!F58</f>
        <v>0</v>
      </c>
      <c r="H49" s="930">
        <f>transport!G58</f>
        <v>199.42644453726442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200.30371272496637</v>
      </c>
    </row>
    <row r="50" spans="1:18">
      <c r="A50" s="752" t="s">
        <v>296</v>
      </c>
      <c r="B50" s="762"/>
      <c r="C50" s="631">
        <f ca="1">transport!B18</f>
        <v>4.3483636459357404</v>
      </c>
      <c r="D50" s="631">
        <f>transport!C18</f>
        <v>0</v>
      </c>
      <c r="E50" s="631">
        <f>transport!D18</f>
        <v>6.7540647431926244</v>
      </c>
      <c r="F50" s="631">
        <f>transport!E18</f>
        <v>34.097245947638804</v>
      </c>
      <c r="G50" s="631">
        <f>transport!F18</f>
        <v>0</v>
      </c>
      <c r="H50" s="631">
        <f>transport!G18</f>
        <v>26617.196168918232</v>
      </c>
      <c r="I50" s="631">
        <f>transport!H18</f>
        <v>2868.0418585189664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29530.437701773964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5.2256318336377081</v>
      </c>
      <c r="D52" s="660">
        <f t="shared" ref="D52:Q52" ca="1" si="6">SUM(D48:D51)</f>
        <v>0</v>
      </c>
      <c r="E52" s="660">
        <f t="shared" si="6"/>
        <v>6.7540647431926244</v>
      </c>
      <c r="F52" s="660">
        <f t="shared" si="6"/>
        <v>34.097245947638804</v>
      </c>
      <c r="G52" s="660">
        <f t="shared" si="6"/>
        <v>0</v>
      </c>
      <c r="H52" s="660">
        <f t="shared" si="6"/>
        <v>26816.622613455496</v>
      </c>
      <c r="I52" s="660">
        <f t="shared" si="6"/>
        <v>2868.0418585189664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29730.741414498931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83.120537474952556</v>
      </c>
      <c r="D54" s="631">
        <f ca="1">+landbouw!C12</f>
        <v>0</v>
      </c>
      <c r="E54" s="631">
        <f>+landbouw!D12</f>
        <v>15.504366991312805</v>
      </c>
      <c r="F54" s="631">
        <f>+landbouw!E12</f>
        <v>1.7849256617260043</v>
      </c>
      <c r="G54" s="631">
        <f>+landbouw!F12</f>
        <v>386.45985291253993</v>
      </c>
      <c r="H54" s="631">
        <f>+landbouw!G12</f>
        <v>0</v>
      </c>
      <c r="I54" s="631">
        <f>+landbouw!H12</f>
        <v>0</v>
      </c>
      <c r="J54" s="631">
        <f>+landbouw!I12</f>
        <v>0</v>
      </c>
      <c r="K54" s="631">
        <f>+landbouw!J12</f>
        <v>33.361734477493457</v>
      </c>
      <c r="L54" s="631">
        <f>+landbouw!K12</f>
        <v>0</v>
      </c>
      <c r="M54" s="631">
        <f>+landbouw!L12</f>
        <v>0</v>
      </c>
      <c r="N54" s="631">
        <f>+landbouw!M12</f>
        <v>0</v>
      </c>
      <c r="O54" s="631">
        <f>+landbouw!N12</f>
        <v>0</v>
      </c>
      <c r="P54" s="631">
        <f>+landbouw!O12</f>
        <v>0</v>
      </c>
      <c r="Q54" s="632">
        <f>+landbouw!P12</f>
        <v>0</v>
      </c>
      <c r="R54" s="659">
        <f ca="1">SUM(C54:Q54)</f>
        <v>520.23141751802473</v>
      </c>
    </row>
    <row r="55" spans="1:18" ht="15" thickBot="1">
      <c r="A55" s="752" t="s">
        <v>788</v>
      </c>
      <c r="B55" s="762"/>
      <c r="C55" s="631">
        <f ca="1">C25*'EF ele_warmte'!B12</f>
        <v>377.49378281375766</v>
      </c>
      <c r="D55" s="631"/>
      <c r="E55" s="631">
        <f>E25*EF_CO2_aardgas</f>
        <v>1319.9374636388002</v>
      </c>
      <c r="F55" s="631"/>
      <c r="G55" s="631"/>
      <c r="H55" s="631"/>
      <c r="I55" s="631"/>
      <c r="J55" s="631"/>
      <c r="K55" s="631"/>
      <c r="L55" s="631"/>
      <c r="M55" s="631"/>
      <c r="N55" s="631"/>
      <c r="O55" s="631"/>
      <c r="P55" s="631"/>
      <c r="Q55" s="632"/>
      <c r="R55" s="659">
        <f ca="1">SUM(C55:Q55)</f>
        <v>1697.4312464525578</v>
      </c>
    </row>
    <row r="56" spans="1:18" ht="15.75" thickBot="1">
      <c r="A56" s="750" t="s">
        <v>789</v>
      </c>
      <c r="B56" s="763"/>
      <c r="C56" s="660">
        <f ca="1">SUM(C54:C55)</f>
        <v>460.61432028871025</v>
      </c>
      <c r="D56" s="660">
        <f t="shared" ref="D56:Q56" ca="1" si="7">SUM(D54:D55)</f>
        <v>0</v>
      </c>
      <c r="E56" s="660">
        <f t="shared" si="7"/>
        <v>1335.4418306301129</v>
      </c>
      <c r="F56" s="660">
        <f t="shared" si="7"/>
        <v>1.7849256617260043</v>
      </c>
      <c r="G56" s="660">
        <f t="shared" si="7"/>
        <v>386.45985291253993</v>
      </c>
      <c r="H56" s="660">
        <f t="shared" si="7"/>
        <v>0</v>
      </c>
      <c r="I56" s="660">
        <f t="shared" si="7"/>
        <v>0</v>
      </c>
      <c r="J56" s="660">
        <f t="shared" si="7"/>
        <v>0</v>
      </c>
      <c r="K56" s="660">
        <f t="shared" si="7"/>
        <v>33.361734477493457</v>
      </c>
      <c r="L56" s="660">
        <f t="shared" si="7"/>
        <v>0</v>
      </c>
      <c r="M56" s="660">
        <f t="shared" si="7"/>
        <v>0</v>
      </c>
      <c r="N56" s="660">
        <f t="shared" si="7"/>
        <v>0</v>
      </c>
      <c r="O56" s="660">
        <f t="shared" si="7"/>
        <v>0</v>
      </c>
      <c r="P56" s="660">
        <f t="shared" si="7"/>
        <v>0</v>
      </c>
      <c r="Q56" s="661">
        <f t="shared" si="7"/>
        <v>0</v>
      </c>
      <c r="R56" s="662">
        <f ca="1">SUM(R54:R55)</f>
        <v>2217.6626639705828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27926.92550745573</v>
      </c>
      <c r="D61" s="668">
        <f t="shared" ref="D61:Q61" ca="1" si="8">D46+D52+D56</f>
        <v>222.073691251745</v>
      </c>
      <c r="E61" s="668">
        <f t="shared" ca="1" si="8"/>
        <v>48649.686702107625</v>
      </c>
      <c r="F61" s="668">
        <f t="shared" si="8"/>
        <v>991.90278938935035</v>
      </c>
      <c r="G61" s="668">
        <f t="shared" ca="1" si="8"/>
        <v>16040.442308972662</v>
      </c>
      <c r="H61" s="668">
        <f t="shared" si="8"/>
        <v>26816.622613455496</v>
      </c>
      <c r="I61" s="668">
        <f t="shared" si="8"/>
        <v>2868.0418585189664</v>
      </c>
      <c r="J61" s="668">
        <f t="shared" si="8"/>
        <v>0</v>
      </c>
      <c r="K61" s="668">
        <f t="shared" si="8"/>
        <v>367.99063366031146</v>
      </c>
      <c r="L61" s="668">
        <f t="shared" si="8"/>
        <v>0</v>
      </c>
      <c r="M61" s="668">
        <f t="shared" ca="1" si="8"/>
        <v>0</v>
      </c>
      <c r="N61" s="668">
        <f t="shared" si="8"/>
        <v>0</v>
      </c>
      <c r="O61" s="668">
        <f t="shared" ca="1" si="8"/>
        <v>0</v>
      </c>
      <c r="P61" s="668">
        <f t="shared" si="8"/>
        <v>0</v>
      </c>
      <c r="Q61" s="668">
        <f t="shared" si="8"/>
        <v>0</v>
      </c>
      <c r="R61" s="668">
        <f ca="1">R46+R52+R56</f>
        <v>123883.68610481186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0.20941963371371455</v>
      </c>
      <c r="D63" s="709">
        <f t="shared" ca="1" si="9"/>
        <v>0.23742128121606954</v>
      </c>
      <c r="E63" s="941">
        <f t="shared" ca="1" si="9"/>
        <v>0.20200000000000004</v>
      </c>
      <c r="F63" s="709">
        <f t="shared" si="9"/>
        <v>0.22700000000000006</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7035.539077755705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643.49999999999989</v>
      </c>
      <c r="D76" s="951">
        <f>'lokale energieproductie'!C8</f>
        <v>756.3395765472311</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152.78059446254071</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7035.539077755705</v>
      </c>
      <c r="C78" s="683">
        <f>SUM(C72:C77)</f>
        <v>643.49999999999989</v>
      </c>
      <c r="D78" s="684">
        <f t="shared" ref="D78:H78" si="10">SUM(D76:D77)</f>
        <v>756.3395765472311</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152.78059446254071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935.35714285714266</v>
      </c>
      <c r="D87" s="705">
        <f>'lokale energieproductie'!C17</f>
        <v>1099.3747091670543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222.073691251745</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935.35714285714266</v>
      </c>
      <c r="D90" s="683">
        <f t="shared" ref="D90:H90" si="12">SUM(D87:D89)</f>
        <v>1099.3747091670543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222.073691251745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36645.174831153694</v>
      </c>
      <c r="C4" s="441">
        <f>huishoudens!C8</f>
        <v>0</v>
      </c>
      <c r="D4" s="441">
        <f>huishoudens!D8</f>
        <v>98452.881544160002</v>
      </c>
      <c r="E4" s="441">
        <f>huishoudens!E8</f>
        <v>1563.3347588376894</v>
      </c>
      <c r="F4" s="441">
        <f>huishoudens!F8</f>
        <v>42503.977672306966</v>
      </c>
      <c r="G4" s="441">
        <f>huishoudens!G8</f>
        <v>0</v>
      </c>
      <c r="H4" s="441">
        <f>huishoudens!H8</f>
        <v>0</v>
      </c>
      <c r="I4" s="441">
        <f>huishoudens!I8</f>
        <v>0</v>
      </c>
      <c r="J4" s="441">
        <f>huishoudens!J8</f>
        <v>783.84926568278627</v>
      </c>
      <c r="K4" s="441">
        <f>huishoudens!K8</f>
        <v>0</v>
      </c>
      <c r="L4" s="441">
        <f>huishoudens!L8</f>
        <v>0</v>
      </c>
      <c r="M4" s="441">
        <f>huishoudens!M8</f>
        <v>0</v>
      </c>
      <c r="N4" s="441">
        <f>huishoudens!N8</f>
        <v>13311.079489561893</v>
      </c>
      <c r="O4" s="441">
        <f>huishoudens!O8</f>
        <v>146.95333333333335</v>
      </c>
      <c r="P4" s="442">
        <f>huishoudens!P8</f>
        <v>457.6</v>
      </c>
      <c r="Q4" s="443">
        <f>SUM(B4:P4)</f>
        <v>193864.85089503636</v>
      </c>
    </row>
    <row r="5" spans="1:17">
      <c r="A5" s="440" t="s">
        <v>149</v>
      </c>
      <c r="B5" s="441">
        <f ca="1">tertiair!B16</f>
        <v>33939.060316770003</v>
      </c>
      <c r="C5" s="441">
        <f ca="1">tertiair!C16</f>
        <v>935.35714285714266</v>
      </c>
      <c r="D5" s="441">
        <f ca="1">tertiair!D16</f>
        <v>45233.885721104321</v>
      </c>
      <c r="E5" s="441">
        <f>tertiair!E16</f>
        <v>495.6243215042096</v>
      </c>
      <c r="F5" s="441">
        <f ca="1">tertiair!F16</f>
        <v>6574.9844953886923</v>
      </c>
      <c r="G5" s="441">
        <f>tertiair!G16</f>
        <v>0</v>
      </c>
      <c r="H5" s="441">
        <f>tertiair!H16</f>
        <v>0</v>
      </c>
      <c r="I5" s="441">
        <f>tertiair!I16</f>
        <v>0</v>
      </c>
      <c r="J5" s="441">
        <f>tertiair!J16</f>
        <v>3.821531233328649E-2</v>
      </c>
      <c r="K5" s="441">
        <f>tertiair!K16</f>
        <v>0</v>
      </c>
      <c r="L5" s="441">
        <f ca="1">tertiair!L16</f>
        <v>0</v>
      </c>
      <c r="M5" s="441">
        <f>tertiair!M16</f>
        <v>0</v>
      </c>
      <c r="N5" s="441">
        <f ca="1">tertiair!N16</f>
        <v>1424.3856668512012</v>
      </c>
      <c r="O5" s="441">
        <f>tertiair!O16</f>
        <v>0</v>
      </c>
      <c r="P5" s="442">
        <f>tertiair!P16</f>
        <v>0</v>
      </c>
      <c r="Q5" s="440">
        <f t="shared" ref="Q5:Q14" ca="1" si="0">SUM(B5:P5)</f>
        <v>88603.335879787905</v>
      </c>
    </row>
    <row r="6" spans="1:17">
      <c r="A6" s="440" t="s">
        <v>187</v>
      </c>
      <c r="B6" s="441">
        <f>'openbare verlichting'!B8</f>
        <v>1816.059</v>
      </c>
      <c r="C6" s="441"/>
      <c r="D6" s="441"/>
      <c r="E6" s="441"/>
      <c r="F6" s="441"/>
      <c r="G6" s="441"/>
      <c r="H6" s="441"/>
      <c r="I6" s="441"/>
      <c r="J6" s="441"/>
      <c r="K6" s="441"/>
      <c r="L6" s="441"/>
      <c r="M6" s="441"/>
      <c r="N6" s="441"/>
      <c r="O6" s="441"/>
      <c r="P6" s="442"/>
      <c r="Q6" s="440">
        <f t="shared" si="0"/>
        <v>1816.059</v>
      </c>
    </row>
    <row r="7" spans="1:17">
      <c r="A7" s="440" t="s">
        <v>105</v>
      </c>
      <c r="B7" s="441">
        <f>landbouw!B8</f>
        <v>396.90900036899995</v>
      </c>
      <c r="C7" s="441">
        <f>landbouw!C8</f>
        <v>0</v>
      </c>
      <c r="D7" s="441">
        <f>landbouw!D8</f>
        <v>76.754292036202003</v>
      </c>
      <c r="E7" s="441">
        <f>landbouw!E8</f>
        <v>7.8631086419647769</v>
      </c>
      <c r="F7" s="441">
        <f>landbouw!F8</f>
        <v>1447.415179447715</v>
      </c>
      <c r="G7" s="441">
        <f>landbouw!G8</f>
        <v>0</v>
      </c>
      <c r="H7" s="441">
        <f>landbouw!H8</f>
        <v>0</v>
      </c>
      <c r="I7" s="441">
        <f>landbouw!I8</f>
        <v>0</v>
      </c>
      <c r="J7" s="441">
        <f>landbouw!J8</f>
        <v>94.242187789529538</v>
      </c>
      <c r="K7" s="441">
        <f>landbouw!K8</f>
        <v>0</v>
      </c>
      <c r="L7" s="441">
        <f>landbouw!L8</f>
        <v>0</v>
      </c>
      <c r="M7" s="441">
        <f>landbouw!M8</f>
        <v>0</v>
      </c>
      <c r="N7" s="441">
        <f>landbouw!N8</f>
        <v>0</v>
      </c>
      <c r="O7" s="441">
        <f>landbouw!O8</f>
        <v>0</v>
      </c>
      <c r="P7" s="442">
        <f>landbouw!P8</f>
        <v>0</v>
      </c>
      <c r="Q7" s="440">
        <f t="shared" si="0"/>
        <v>2023.1837682844111</v>
      </c>
    </row>
    <row r="8" spans="1:17">
      <c r="A8" s="440" t="s">
        <v>600</v>
      </c>
      <c r="B8" s="441">
        <f>industrie!B18</f>
        <v>58729.175751129995</v>
      </c>
      <c r="C8" s="441">
        <f>industrie!C18</f>
        <v>0</v>
      </c>
      <c r="D8" s="441">
        <f>industrie!D18</f>
        <v>90508.731777974841</v>
      </c>
      <c r="E8" s="441">
        <f>industrie!E18</f>
        <v>2152.5854913760986</v>
      </c>
      <c r="F8" s="441">
        <f>industrie!F18</f>
        <v>9550.185607810412</v>
      </c>
      <c r="G8" s="441">
        <f>industrie!G18</f>
        <v>0</v>
      </c>
      <c r="H8" s="441">
        <f>industrie!H18</f>
        <v>0</v>
      </c>
      <c r="I8" s="441">
        <f>industrie!I18</f>
        <v>0</v>
      </c>
      <c r="J8" s="441">
        <f>industrie!J18</f>
        <v>161.39189522753028</v>
      </c>
      <c r="K8" s="441">
        <f>industrie!K18</f>
        <v>0</v>
      </c>
      <c r="L8" s="441">
        <f>industrie!L18</f>
        <v>0</v>
      </c>
      <c r="M8" s="441">
        <f>industrie!M18</f>
        <v>0</v>
      </c>
      <c r="N8" s="441">
        <f>industrie!N18</f>
        <v>1577.0931427198557</v>
      </c>
      <c r="O8" s="441">
        <f>industrie!O18</f>
        <v>0</v>
      </c>
      <c r="P8" s="442">
        <f>industrie!P18</f>
        <v>0</v>
      </c>
      <c r="Q8" s="440">
        <f t="shared" si="0"/>
        <v>162679.16366623875</v>
      </c>
    </row>
    <row r="9" spans="1:17" s="446" customFormat="1">
      <c r="A9" s="444" t="s">
        <v>549</v>
      </c>
      <c r="B9" s="445">
        <f>transport!B14</f>
        <v>20.763877621331993</v>
      </c>
      <c r="C9" s="445">
        <f>transport!C14</f>
        <v>0</v>
      </c>
      <c r="D9" s="445">
        <f>transport!D14</f>
        <v>33.435964075211011</v>
      </c>
      <c r="E9" s="445">
        <f>transport!E14</f>
        <v>150.20813192792426</v>
      </c>
      <c r="F9" s="445">
        <f>transport!F14</f>
        <v>0</v>
      </c>
      <c r="G9" s="445">
        <f>transport!G14</f>
        <v>99689.873291828582</v>
      </c>
      <c r="H9" s="445">
        <f>transport!H14</f>
        <v>11518.2403956585</v>
      </c>
      <c r="I9" s="445">
        <f>transport!I14</f>
        <v>0</v>
      </c>
      <c r="J9" s="445">
        <f>transport!J14</f>
        <v>0</v>
      </c>
      <c r="K9" s="445">
        <f>transport!K14</f>
        <v>0</v>
      </c>
      <c r="L9" s="445">
        <f>transport!L14</f>
        <v>0</v>
      </c>
      <c r="M9" s="445">
        <f>transport!M14</f>
        <v>3481.4219837616092</v>
      </c>
      <c r="N9" s="445">
        <f>transport!N14</f>
        <v>0</v>
      </c>
      <c r="O9" s="445">
        <f>transport!O14</f>
        <v>0</v>
      </c>
      <c r="P9" s="445">
        <f>transport!P14</f>
        <v>0</v>
      </c>
      <c r="Q9" s="444">
        <f>SUM(B9:P9)</f>
        <v>114893.94364487316</v>
      </c>
    </row>
    <row r="10" spans="1:17">
      <c r="A10" s="440" t="s">
        <v>539</v>
      </c>
      <c r="B10" s="441">
        <f>transport!B54</f>
        <v>4.1890446093570697</v>
      </c>
      <c r="C10" s="441">
        <f>transport!C54</f>
        <v>0</v>
      </c>
      <c r="D10" s="441">
        <f>transport!D54</f>
        <v>0</v>
      </c>
      <c r="E10" s="441">
        <f>transport!E54</f>
        <v>0</v>
      </c>
      <c r="F10" s="441">
        <f>transport!F54</f>
        <v>0</v>
      </c>
      <c r="G10" s="441">
        <f>transport!G54</f>
        <v>746.91552261147717</v>
      </c>
      <c r="H10" s="441">
        <f>transport!H54</f>
        <v>0</v>
      </c>
      <c r="I10" s="441">
        <f>transport!I54</f>
        <v>0</v>
      </c>
      <c r="J10" s="441">
        <f>transport!J54</f>
        <v>0</v>
      </c>
      <c r="K10" s="441">
        <f>transport!K54</f>
        <v>0</v>
      </c>
      <c r="L10" s="441">
        <f>transport!L54</f>
        <v>0</v>
      </c>
      <c r="M10" s="441">
        <f>transport!M54</f>
        <v>23.315808591674941</v>
      </c>
      <c r="N10" s="441">
        <f>transport!N54</f>
        <v>0</v>
      </c>
      <c r="O10" s="441">
        <f>transport!O54</f>
        <v>0</v>
      </c>
      <c r="P10" s="442">
        <f>transport!P54</f>
        <v>0</v>
      </c>
      <c r="Q10" s="440">
        <f t="shared" si="0"/>
        <v>774.42037581250918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1802.5711157999999</v>
      </c>
      <c r="C14" s="448"/>
      <c r="D14" s="448">
        <f>'SEAP template'!E25</f>
        <v>6534.3438794000003</v>
      </c>
      <c r="E14" s="448"/>
      <c r="F14" s="448"/>
      <c r="G14" s="448"/>
      <c r="H14" s="448"/>
      <c r="I14" s="448"/>
      <c r="J14" s="448"/>
      <c r="K14" s="448"/>
      <c r="L14" s="448"/>
      <c r="M14" s="448"/>
      <c r="N14" s="448"/>
      <c r="O14" s="448"/>
      <c r="P14" s="449"/>
      <c r="Q14" s="440">
        <f t="shared" si="0"/>
        <v>8336.9149952000007</v>
      </c>
    </row>
    <row r="15" spans="1:17" s="450" customFormat="1">
      <c r="A15" s="956" t="s">
        <v>543</v>
      </c>
      <c r="B15" s="896">
        <f ca="1">SUM(B4:B14)</f>
        <v>133353.90293745339</v>
      </c>
      <c r="C15" s="896">
        <f t="shared" ref="C15:Q15" ca="1" si="1">SUM(C4:C14)</f>
        <v>935.35714285714266</v>
      </c>
      <c r="D15" s="896">
        <f t="shared" ca="1" si="1"/>
        <v>240840.03317875057</v>
      </c>
      <c r="E15" s="896">
        <f t="shared" si="1"/>
        <v>4369.615812287886</v>
      </c>
      <c r="F15" s="896">
        <f t="shared" ca="1" si="1"/>
        <v>60076.562954953784</v>
      </c>
      <c r="G15" s="896">
        <f t="shared" si="1"/>
        <v>100436.78881444006</v>
      </c>
      <c r="H15" s="896">
        <f t="shared" si="1"/>
        <v>11518.2403956585</v>
      </c>
      <c r="I15" s="896">
        <f t="shared" si="1"/>
        <v>0</v>
      </c>
      <c r="J15" s="896">
        <f t="shared" si="1"/>
        <v>1039.5215640121794</v>
      </c>
      <c r="K15" s="896">
        <f t="shared" si="1"/>
        <v>0</v>
      </c>
      <c r="L15" s="896">
        <f t="shared" ca="1" si="1"/>
        <v>0</v>
      </c>
      <c r="M15" s="896">
        <f t="shared" si="1"/>
        <v>3504.737792353284</v>
      </c>
      <c r="N15" s="896">
        <f t="shared" ca="1" si="1"/>
        <v>16312.55829913295</v>
      </c>
      <c r="O15" s="896">
        <f t="shared" si="1"/>
        <v>146.95333333333335</v>
      </c>
      <c r="P15" s="896">
        <f t="shared" si="1"/>
        <v>457.6</v>
      </c>
      <c r="Q15" s="896">
        <f t="shared" ca="1" si="1"/>
        <v>572991.87222523312</v>
      </c>
    </row>
    <row r="17" spans="1:17">
      <c r="A17" s="451" t="s">
        <v>544</v>
      </c>
      <c r="B17" s="714">
        <f ca="1">huishoudens!B10</f>
        <v>0.20941963371371453</v>
      </c>
      <c r="C17" s="714">
        <f ca="1">huishoudens!C10</f>
        <v>0.23742128121606954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7674.2190905152374</v>
      </c>
      <c r="C22" s="441">
        <f t="shared" ref="C22:C32" ca="1" si="3">C4*$C$17</f>
        <v>0</v>
      </c>
      <c r="D22" s="441">
        <f t="shared" ref="D22:D32" si="4">D4*$D$17</f>
        <v>19887.48207192032</v>
      </c>
      <c r="E22" s="441">
        <f t="shared" ref="E22:E32" si="5">E4*$E$17</f>
        <v>354.87699025615552</v>
      </c>
      <c r="F22" s="441">
        <f t="shared" ref="F22:F32" si="6">F4*$F$17</f>
        <v>11348.562038505961</v>
      </c>
      <c r="G22" s="441">
        <f t="shared" ref="G22:G32" si="7">G4*$G$17</f>
        <v>0</v>
      </c>
      <c r="H22" s="441">
        <f t="shared" ref="H22:H32" si="8">H4*$H$17</f>
        <v>0</v>
      </c>
      <c r="I22" s="441">
        <f t="shared" ref="I22:I32" si="9">I4*$I$17</f>
        <v>0</v>
      </c>
      <c r="J22" s="441">
        <f t="shared" ref="J22:J32" si="10">J4*$J$17</f>
        <v>277.48264005170631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39542.622831249377</v>
      </c>
    </row>
    <row r="23" spans="1:17">
      <c r="A23" s="440" t="s">
        <v>149</v>
      </c>
      <c r="B23" s="441">
        <f t="shared" ca="1" si="2"/>
        <v>7107.5055801256385</v>
      </c>
      <c r="C23" s="441">
        <f t="shared" ca="1" si="3"/>
        <v>222.073691251745</v>
      </c>
      <c r="D23" s="441">
        <f t="shared" ca="1" si="4"/>
        <v>9137.2449156630737</v>
      </c>
      <c r="E23" s="441">
        <f t="shared" si="5"/>
        <v>112.50672098145559</v>
      </c>
      <c r="F23" s="441">
        <f t="shared" ca="1" si="6"/>
        <v>1755.520860268781</v>
      </c>
      <c r="G23" s="441">
        <f t="shared" si="7"/>
        <v>0</v>
      </c>
      <c r="H23" s="441">
        <f t="shared" si="8"/>
        <v>0</v>
      </c>
      <c r="I23" s="441">
        <f t="shared" si="9"/>
        <v>0</v>
      </c>
      <c r="J23" s="441">
        <f t="shared" si="10"/>
        <v>1.3528220565983417E-2</v>
      </c>
      <c r="K23" s="441">
        <f t="shared" si="11"/>
        <v>0</v>
      </c>
      <c r="L23" s="441">
        <f t="shared" ca="1" si="12"/>
        <v>0</v>
      </c>
      <c r="M23" s="441">
        <f t="shared" si="13"/>
        <v>0</v>
      </c>
      <c r="N23" s="441">
        <f t="shared" ca="1" si="14"/>
        <v>0</v>
      </c>
      <c r="O23" s="441">
        <f t="shared" si="15"/>
        <v>0</v>
      </c>
      <c r="P23" s="442">
        <f t="shared" si="16"/>
        <v>0</v>
      </c>
      <c r="Q23" s="440">
        <f t="shared" ref="Q23:Q32" ca="1" si="17">SUM(B23:P23)</f>
        <v>18334.86529651126</v>
      </c>
    </row>
    <row r="24" spans="1:17">
      <c r="A24" s="440" t="s">
        <v>187</v>
      </c>
      <c r="B24" s="441">
        <f t="shared" ca="1" si="2"/>
        <v>380.31841058249466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380.31841058249466</v>
      </c>
    </row>
    <row r="25" spans="1:17">
      <c r="A25" s="440" t="s">
        <v>105</v>
      </c>
      <c r="B25" s="441">
        <f t="shared" ca="1" si="2"/>
        <v>83.120537474952556</v>
      </c>
      <c r="C25" s="441">
        <f t="shared" ca="1" si="3"/>
        <v>0</v>
      </c>
      <c r="D25" s="441">
        <f t="shared" si="4"/>
        <v>15.504366991312805</v>
      </c>
      <c r="E25" s="441">
        <f t="shared" si="5"/>
        <v>1.7849256617260043</v>
      </c>
      <c r="F25" s="441">
        <f t="shared" si="6"/>
        <v>386.45985291253993</v>
      </c>
      <c r="G25" s="441">
        <f t="shared" si="7"/>
        <v>0</v>
      </c>
      <c r="H25" s="441">
        <f t="shared" si="8"/>
        <v>0</v>
      </c>
      <c r="I25" s="441">
        <f t="shared" si="9"/>
        <v>0</v>
      </c>
      <c r="J25" s="441">
        <f t="shared" si="10"/>
        <v>33.361734477493457</v>
      </c>
      <c r="K25" s="441">
        <f t="shared" si="11"/>
        <v>0</v>
      </c>
      <c r="L25" s="441">
        <f t="shared" si="12"/>
        <v>0</v>
      </c>
      <c r="M25" s="441">
        <f t="shared" si="13"/>
        <v>0</v>
      </c>
      <c r="N25" s="441">
        <f t="shared" si="14"/>
        <v>0</v>
      </c>
      <c r="O25" s="441">
        <f t="shared" si="15"/>
        <v>0</v>
      </c>
      <c r="P25" s="442">
        <f t="shared" si="16"/>
        <v>0</v>
      </c>
      <c r="Q25" s="440">
        <f t="shared" ca="1" si="17"/>
        <v>520.23141751802473</v>
      </c>
    </row>
    <row r="26" spans="1:17">
      <c r="A26" s="440" t="s">
        <v>600</v>
      </c>
      <c r="B26" s="441">
        <f t="shared" ca="1" si="2"/>
        <v>12299.042474110009</v>
      </c>
      <c r="C26" s="441">
        <f t="shared" ca="1" si="3"/>
        <v>0</v>
      </c>
      <c r="D26" s="441">
        <f t="shared" si="4"/>
        <v>18282.763819150918</v>
      </c>
      <c r="E26" s="441">
        <f t="shared" si="5"/>
        <v>488.63690654237439</v>
      </c>
      <c r="F26" s="441">
        <f t="shared" si="6"/>
        <v>2549.8995572853801</v>
      </c>
      <c r="G26" s="441">
        <f t="shared" si="7"/>
        <v>0</v>
      </c>
      <c r="H26" s="441">
        <f t="shared" si="8"/>
        <v>0</v>
      </c>
      <c r="I26" s="441">
        <f t="shared" si="9"/>
        <v>0</v>
      </c>
      <c r="J26" s="441">
        <f t="shared" si="10"/>
        <v>57.132730910545718</v>
      </c>
      <c r="K26" s="441">
        <f t="shared" si="11"/>
        <v>0</v>
      </c>
      <c r="L26" s="441">
        <f t="shared" si="12"/>
        <v>0</v>
      </c>
      <c r="M26" s="441">
        <f t="shared" si="13"/>
        <v>0</v>
      </c>
      <c r="N26" s="441">
        <f t="shared" si="14"/>
        <v>0</v>
      </c>
      <c r="O26" s="441">
        <f t="shared" si="15"/>
        <v>0</v>
      </c>
      <c r="P26" s="442">
        <f t="shared" si="16"/>
        <v>0</v>
      </c>
      <c r="Q26" s="440">
        <f t="shared" ca="1" si="17"/>
        <v>33677.475487999225</v>
      </c>
    </row>
    <row r="27" spans="1:17" s="446" customFormat="1">
      <c r="A27" s="444" t="s">
        <v>549</v>
      </c>
      <c r="B27" s="708">
        <f t="shared" ca="1" si="2"/>
        <v>4.3483636459357404</v>
      </c>
      <c r="C27" s="445">
        <f t="shared" ca="1" si="3"/>
        <v>0</v>
      </c>
      <c r="D27" s="445">
        <f t="shared" si="4"/>
        <v>6.7540647431926244</v>
      </c>
      <c r="E27" s="445">
        <f t="shared" si="5"/>
        <v>34.097245947638804</v>
      </c>
      <c r="F27" s="445">
        <f t="shared" si="6"/>
        <v>0</v>
      </c>
      <c r="G27" s="445">
        <f t="shared" si="7"/>
        <v>26617.196168918232</v>
      </c>
      <c r="H27" s="445">
        <f t="shared" si="8"/>
        <v>2868.0418585189664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29530.437701773964</v>
      </c>
    </row>
    <row r="28" spans="1:17">
      <c r="A28" s="440" t="s">
        <v>539</v>
      </c>
      <c r="B28" s="441">
        <f t="shared" ca="1" si="2"/>
        <v>0.87726818770196791</v>
      </c>
      <c r="C28" s="441">
        <f t="shared" ca="1" si="3"/>
        <v>0</v>
      </c>
      <c r="D28" s="441">
        <f t="shared" si="4"/>
        <v>0</v>
      </c>
      <c r="E28" s="441">
        <f t="shared" si="5"/>
        <v>0</v>
      </c>
      <c r="F28" s="441">
        <f t="shared" si="6"/>
        <v>0</v>
      </c>
      <c r="G28" s="441">
        <f t="shared" si="7"/>
        <v>199.42644453726442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200.30371272496637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377.49378281375766</v>
      </c>
      <c r="C32" s="441">
        <f t="shared" ca="1" si="3"/>
        <v>0</v>
      </c>
      <c r="D32" s="441">
        <f t="shared" si="4"/>
        <v>1319.9374636388002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1697.4312464525578</v>
      </c>
    </row>
    <row r="33" spans="1:17" s="450" customFormat="1">
      <c r="A33" s="956" t="s">
        <v>543</v>
      </c>
      <c r="B33" s="896">
        <f ca="1">SUM(B22:B32)</f>
        <v>27926.92550745573</v>
      </c>
      <c r="C33" s="896">
        <f t="shared" ref="C33:Q33" ca="1" si="18">SUM(C22:C32)</f>
        <v>222.073691251745</v>
      </c>
      <c r="D33" s="896">
        <f t="shared" ca="1" si="18"/>
        <v>48649.686702107625</v>
      </c>
      <c r="E33" s="896">
        <f t="shared" si="18"/>
        <v>991.90278938935035</v>
      </c>
      <c r="F33" s="896">
        <f t="shared" ca="1" si="18"/>
        <v>16040.442308972662</v>
      </c>
      <c r="G33" s="896">
        <f t="shared" si="18"/>
        <v>26816.622613455496</v>
      </c>
      <c r="H33" s="896">
        <f t="shared" si="18"/>
        <v>2868.0418585189664</v>
      </c>
      <c r="I33" s="896">
        <f t="shared" si="18"/>
        <v>0</v>
      </c>
      <c r="J33" s="896">
        <f t="shared" si="18"/>
        <v>367.99063366031152</v>
      </c>
      <c r="K33" s="896">
        <f t="shared" si="18"/>
        <v>0</v>
      </c>
      <c r="L33" s="896">
        <f t="shared" ca="1" si="18"/>
        <v>0</v>
      </c>
      <c r="M33" s="896">
        <f t="shared" si="18"/>
        <v>0</v>
      </c>
      <c r="N33" s="896">
        <f t="shared" ca="1" si="18"/>
        <v>0</v>
      </c>
      <c r="O33" s="896">
        <f t="shared" si="18"/>
        <v>0</v>
      </c>
      <c r="P33" s="896">
        <f t="shared" si="18"/>
        <v>0</v>
      </c>
      <c r="Q33" s="896">
        <f t="shared" ca="1" si="18"/>
        <v>123883.68610481186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7035.539077755705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643.49999999999989</v>
      </c>
      <c r="D8" s="973">
        <f>'SEAP template'!D76</f>
        <v>756.3395765472311</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152.78059446254071</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7035.539077755705</v>
      </c>
      <c r="C10" s="977">
        <f>SUM(C4:C9)</f>
        <v>643.49999999999989</v>
      </c>
      <c r="D10" s="977">
        <f t="shared" ref="D10:H10" si="0">SUM(D8:D9)</f>
        <v>756.3395765472311</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152.78059446254071</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0.20941963371371453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935.35714285714266</v>
      </c>
      <c r="D17" s="974">
        <f>'SEAP template'!D87</f>
        <v>1099.3747091670543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222.073691251745</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935.35714285714266</v>
      </c>
      <c r="D20" s="977">
        <f t="shared" ref="D20:H20" si="2">SUM(D17:D19)</f>
        <v>1099.3747091670543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222.073691251745</v>
      </c>
    </row>
    <row r="22" spans="1:16">
      <c r="A22" s="451" t="s">
        <v>811</v>
      </c>
      <c r="B22" s="714" t="s">
        <v>805</v>
      </c>
      <c r="C22" s="714">
        <f ca="1">'EF ele_warmte'!B22</f>
        <v>0.23742128121606954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0.20941963371371453</v>
      </c>
      <c r="C17" s="488">
        <f ca="1">'EF ele_warmte'!B22</f>
        <v>0.23742128121606954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3</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4.6900000000000004</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2022-07-26T11:16:40Z</dcterms:modified>
</cp:coreProperties>
</file>