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85F8F1AD-47AC-4106-BDF5-51104AED5AF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M77" i="14"/>
  <c r="M9" i="59"/>
  <c r="V39" i="18"/>
  <c r="U39" i="18"/>
  <c r="T39" i="18"/>
  <c r="S39" i="18"/>
  <c r="E9" i="18"/>
  <c r="F77" i="14"/>
  <c r="F9" i="59"/>
  <c r="R39" i="18"/>
  <c r="Q39" i="18"/>
  <c r="P39" i="18"/>
  <c r="C9" i="18"/>
  <c r="D77" i="14"/>
  <c r="D9" i="59"/>
  <c r="O39" i="18"/>
  <c r="N39" i="18"/>
  <c r="B9" i="18"/>
  <c r="M39" i="18"/>
  <c r="W35" i="18"/>
  <c r="V35" i="18"/>
  <c r="U35" i="18"/>
  <c r="T35" i="18"/>
  <c r="S35" i="18"/>
  <c r="R35" i="18"/>
  <c r="Q35" i="18"/>
  <c r="P35" i="18"/>
  <c r="O35" i="18"/>
  <c r="N35" i="18"/>
  <c r="M35" i="18"/>
  <c r="W34" i="18"/>
  <c r="V34" i="18"/>
  <c r="U34" i="18"/>
  <c r="T34" i="18"/>
  <c r="S34" i="18"/>
  <c r="F13" i="15"/>
  <c r="R34" i="18"/>
  <c r="Q34" i="18"/>
  <c r="P34" i="18"/>
  <c r="O34" i="18"/>
  <c r="C13" i="15"/>
  <c r="N34" i="18"/>
  <c r="B13" i="15"/>
  <c r="M34" i="18"/>
  <c r="W33" i="18"/>
  <c r="V33" i="18"/>
  <c r="U33" i="18"/>
  <c r="T33" i="18"/>
  <c r="S33" i="18"/>
  <c r="R33" i="18"/>
  <c r="Q33" i="18"/>
  <c r="P33" i="18"/>
  <c r="O33" i="18"/>
  <c r="N33" i="18"/>
  <c r="M33" i="18"/>
  <c r="W32" i="18"/>
  <c r="V32" i="18"/>
  <c r="U32" i="18"/>
  <c r="T32" i="18"/>
  <c r="S32" i="18"/>
  <c r="R32" i="18"/>
  <c r="Q32" i="18"/>
  <c r="P32" i="18"/>
  <c r="O32" i="18"/>
  <c r="N32" i="18"/>
  <c r="B8" i="18"/>
  <c r="M32"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8" i="18"/>
  <c r="I9" i="18"/>
  <c r="I77" i="14"/>
  <c r="I9" i="59"/>
  <c r="B17" i="18"/>
  <c r="B20" i="18"/>
  <c r="C6" i="17"/>
  <c r="E10" i="59"/>
  <c r="G77" i="14"/>
  <c r="G9" i="59"/>
  <c r="G10" i="59"/>
  <c r="J9" i="18"/>
  <c r="J77" i="14"/>
  <c r="J9" i="59"/>
  <c r="E20" i="59"/>
  <c r="C48" i="18"/>
  <c r="I51"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51" i="18"/>
  <c r="I52" i="18"/>
  <c r="H17" i="18"/>
  <c r="E52" i="18"/>
  <c r="E17" i="18"/>
  <c r="H52" i="18"/>
  <c r="D52" i="18"/>
  <c r="G52" i="18"/>
  <c r="C52" i="18"/>
  <c r="F52" i="18"/>
  <c r="B52" i="18"/>
  <c r="C17" i="18"/>
  <c r="Q14" i="48"/>
  <c r="O24" i="48"/>
  <c r="O30" i="48"/>
  <c r="P24" i="48"/>
  <c r="P30" i="48"/>
  <c r="E78" i="14"/>
  <c r="E90" i="14"/>
  <c r="N78" i="14"/>
  <c r="B51" i="18"/>
  <c r="C8" i="18"/>
  <c r="C10" i="18"/>
  <c r="Q77" i="14"/>
  <c r="P9" i="59"/>
  <c r="O9" i="18"/>
  <c r="G78" i="14"/>
  <c r="C77" i="14"/>
  <c r="C9" i="59"/>
  <c r="F51" i="18"/>
  <c r="G51" i="18"/>
  <c r="I8" i="18"/>
  <c r="H51" i="18"/>
  <c r="C51" i="18"/>
  <c r="E51"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<sst xmlns="http://schemas.openxmlformats.org/spreadsheetml/2006/main" count="2426" uniqueCount="890">
  <si>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</si>
  <si>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</si>
  <si>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</si>
  <si>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</si>
  <si>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</si>
  <si>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</si>
  <si>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</si>
  <si>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</si>
  <si>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</si>
  <si>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</si>
  <si>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</si>
  <si>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</si>
  <si>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</si>
  <si>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</si>
  <si>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</si>
  <si>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</si>
  <si>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</si>
  <si>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</si>
  <si>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</si>
  <si>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</si>
  <si>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</si>
  <si>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</si>
  <si>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</si>
  <si>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</si>
  <si>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</si>
  <si>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</si>
  <si>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</si>
  <si>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</si>
  <si>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</si>
  <si>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</si>
  <si>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</si>
  <si>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</si>
  <si>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</si>
  <si>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</si>
  <si>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</si>
  <si>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</si>
  <si>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</si>
  <si>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</si>
  <si>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</si>
  <si>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</si>
  <si>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</si>
  <si>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</si>
  <si>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</si>
  <si>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</si>
  <si>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</si>
  <si>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</si>
  <si>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</si>
  <si>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</si>
  <si>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</si>
  <si>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</si>
  <si>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</si>
  <si>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</si>
  <si>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</si>
  <si>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</si>
  <si>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</si>
  <si>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</si>
  <si>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</si>
  <si>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</si>
  <si>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</si>
  <si>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</si>
  <si>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</si>
  <si>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</si>
  <si>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</si>
  <si>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</si>
  <si>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</si>
  <si>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</si>
  <si>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</si>
  <si>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</si>
  <si>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</si>
  <si>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</si>
  <si>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</si>
  <si>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</si>
  <si>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</si>
  <si>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</si>
  <si>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</si>
  <si>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</si>
  <si>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</si>
  <si>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</si>
  <si>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</si>
  <si>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</si>
  <si>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</si>
  <si>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</si>
  <si>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</si>
  <si>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</si>
  <si>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</si>
  <si>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</si>
  <si>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</si>
  <si>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</si>
  <si>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</si>
  <si>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</si>
  <si>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</si>
  <si>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</si>
  <si>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</si>
  <si>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</si>
  <si>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</si>
  <si>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</si>
  <si>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</si>
  <si>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</si>
  <si>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</si>
  <si>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</si>
  <si>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</si>
  <si>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</si>
  <si>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</si>
  <si>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</si>
  <si>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</si>
  <si>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</si>
  <si>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</si>
  <si>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</si>
  <si>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</si>
  <si>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</si>
  <si>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</si>
  <si>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</si>
  <si>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</si>
  <si>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</si>
  <si>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</si>
  <si>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</si>
  <si>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</si>
  <si>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</si>
  <si>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</si>
  <si>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</si>
  <si>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</si>
  <si>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</si>
  <si>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</si>
  <si>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</si>
  <si>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</si>
  <si>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</si>
  <si>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</si>
  <si>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</si>
  <si>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</si>
  <si>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</si>
  <si>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</si>
  <si>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</si>
  <si>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</si>
  <si>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</si>
  <si>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</si>
  <si>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</si>
  <si>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</si>
  <si>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</si>
  <si>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</si>
  <si>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</si>
  <si>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</si>
  <si>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</si>
  <si>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</si>
  <si>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</si>
  <si>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</si>
  <si>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</si>
  <si>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</si>
  <si>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</si>
  <si>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</si>
  <si>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</si>
  <si>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</si>
  <si>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</si>
  <si>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</si>
  <si>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</si>
  <si>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</si>
  <si>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</si>
  <si>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</si>
  <si>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</si>
  <si>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</si>
  <si>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</si>
  <si>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</si>
  <si>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</si>
  <si>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</si>
  <si>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</si>
  <si>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</si>
  <si>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</si>
  <si>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</si>
  <si>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</si>
  <si>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</si>
  <si>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</si>
  <si>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</si>
  <si>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</si>
  <si>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</si>
  <si>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</si>
  <si>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</si>
  <si>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</si>
  <si>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</si>
  <si>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</si>
  <si>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</si>
  <si>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</si>
  <si>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</si>
  <si>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</si>
  <si>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</si>
  <si>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</si>
  <si>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</si>
  <si>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</si>
  <si>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</si>
  <si>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</si>
  <si>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</si>
  <si>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</si>
  <si>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</si>
  <si>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</si>
  <si>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</si>
  <si>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</si>
  <si>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</si>
  <si>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</si>
  <si>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</si>
  <si>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</si>
  <si>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</si>
  <si>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</si>
  <si>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</si>
  <si>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</si>
  <si>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</si>
  <si>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</si>
  <si>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</si>
  <si>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</si>
  <si>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</si>
  <si>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</si>
  <si>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</si>
  <si>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</si>
  <si>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</si>
  <si>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</si>
  <si>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</si>
  <si>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</si>
  <si>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</si>
  <si>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</si>
  <si>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</si>
  <si>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</si>
  <si>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</si>
  <si>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</si>
  <si>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</si>
  <si>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</si>
  <si>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</si>
  <si>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</si>
  <si>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</si>
  <si>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</si>
  <si>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</si>
  <si>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</si>
  <si>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</si>
  <si>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</si>
  <si>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</si>
  <si>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</si>
  <si>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</si>
  <si>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</si>
  <si>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</si>
  <si>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</si>
  <si>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</si>
  <si>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</si>
  <si>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</si>
  <si>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</si>
  <si>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</si>
  <si>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</si>
  <si>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</si>
  <si>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</si>
  <si>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</si>
  <si>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</si>
  <si>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</si>
  <si>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</si>
  <si>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</si>
  <si>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</si>
  <si>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</si>
  <si>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</si>
  <si>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</si>
  <si>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</si>
  <si>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</si>
  <si>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</si>
  <si>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</si>
  <si>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</si>
  <si>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</si>
  <si>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</si>
  <si>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</si>
  <si>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</si>
  <si>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</si>
  <si>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</si>
  <si>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</si>
  <si>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</si>
  <si>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</si>
  <si>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</si>
  <si>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</si>
  <si>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</si>
  <si>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</si>
  <si>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</si>
  <si>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</si>
  <si>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</si>
  <si>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</si>
  <si>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</si>
  <si>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</si>
  <si>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</si>
  <si>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</si>
  <si>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</si>
  <si>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</si>
  <si>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</si>
  <si>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</si>
  <si>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</si>
  <si>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</si>
  <si>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</si>
  <si>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</si>
  <si>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</si>
  <si>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</si>
  <si>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</si>
  <si>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</si>
  <si>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</si>
  <si>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</si>
  <si>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</si>
  <si>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</si>
  <si>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</si>
  <si>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</si>
  <si>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</si>
  <si>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</si>
  <si>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</si>
  <si>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</si>
  <si>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</si>
  <si>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</si>
  <si>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</si>
  <si>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</si>
  <si>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</si>
  <si>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</si>
  <si>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</si>
  <si>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</si>
  <si>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</si>
  <si>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</si>
  <si>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</si>
  <si>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</si>
  <si>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</si>
  <si>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</si>
  <si>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</si>
  <si>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</si>
  <si>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</si>
  <si>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</si>
  <si>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</si>
  <si>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</si>
  <si>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</si>
  <si>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</si>
  <si>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</si>
  <si>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</si>
  <si>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</si>
  <si>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</si>
  <si>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</si>
  <si>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</si>
  <si>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</si>
  <si>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</si>
  <si>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</si>
  <si>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</si>
  <si>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</si>
  <si>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</si>
  <si>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</si>
  <si>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</si>
  <si>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</si>
  <si>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</si>
  <si>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</si>
  <si>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</si>
  <si>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</si>
  <si>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</si>
  <si>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</si>
  <si>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</si>
  <si>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</si>
  <si>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</si>
  <si>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</si>
  <si>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</si>
  <si>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</si>
  <si>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</si>
  <si>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</si>
  <si>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</si>
  <si>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</si>
  <si>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</si>
  <si>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</si>
  <si>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</si>
  <si>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</si>
  <si>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</si>
  <si>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</si>
  <si>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</si>
  <si>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</si>
  <si>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</si>
  <si>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</si>
  <si>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</si>
  <si>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</si>
  <si>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</si>
  <si>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</si>
  <si>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</si>
  <si>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</si>
  <si>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</si>
  <si>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</si>
  <si>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</si>
  <si>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</si>
  <si>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</si>
  <si>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</si>
  <si>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</si>
  <si>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</si>
  <si>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</si>
  <si>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</si>
  <si>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</si>
  <si>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</si>
  <si>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</si>
  <si>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</si>
  <si>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</si>
  <si>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</si>
  <si>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</si>
  <si>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</si>
  <si>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</si>
  <si>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</si>
  <si>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</si>
  <si>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</si>
  <si>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</si>
  <si>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</si>
  <si>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</si>
  <si>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</si>
  <si>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</si>
  <si>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</si>
  <si>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</si>
  <si>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</si>
  <si>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</si>
  <si>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</si>
  <si>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</si>
  <si>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</si>
  <si>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</si>
  <si>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</si>
  <si>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</si>
  <si>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</si>
  <si>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</si>
  <si>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</si>
  <si>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</si>
  <si>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</si>
  <si>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</si>
  <si>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</si>
  <si>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</si>
  <si>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</si>
  <si>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</si>
  <si>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</si>
  <si>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</si>
  <si>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</si>
  <si>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</si>
  <si>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</si>
  <si>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</si>
  <si>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</si>
  <si>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</si>
  <si>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</si>
  <si>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</si>
  <si>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</si>
  <si>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</si>
  <si>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</si>
  <si>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</si>
  <si>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</si>
  <si>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</si>
  <si>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</si>
  <si>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</si>
  <si>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</si>
  <si>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</si>
  <si>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</si>
  <si>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</si>
  <si>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</si>
  <si>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</si>
  <si>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</si>
  <si>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</si>
  <si>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</si>
  <si>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</si>
  <si>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</si>
  <si>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</si>
  <si>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</si>
  <si>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</si>
  <si>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</si>
  <si>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</si>
  <si>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</si>
  <si>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</si>
  <si>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</si>
  <si>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</si>
  <si>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</si>
  <si>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</si>
  <si>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</si>
  <si>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</si>
  <si>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</si>
  <si>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</si>
  <si>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</si>
  <si>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</si>
  <si>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</si>
  <si>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</si>
  <si>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</si>
  <si>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</si>
  <si>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</si>
  <si>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</si>
  <si>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</si>
  <si>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</si>
  <si>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</si>
  <si>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</si>
  <si>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</si>
  <si>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</si>
  <si>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</si>
  <si>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</si>
  <si>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</si>
  <si>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</si>
  <si>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</si>
  <si>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</si>
  <si>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</si>
  <si>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</si>
  <si>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</si>
  <si>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</si>
  <si>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</si>
  <si>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</si>
  <si>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</si>
  <si>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</si>
  <si>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</si>
  <si>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</si>
  <si>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</si>
  <si>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</si>
  <si>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</si>
  <si>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</si>
  <si>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</si>
  <si>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</si>
  <si>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</si>
  <si>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</si>
  <si>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</si>
  <si>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</si>
  <si>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</si>
  <si>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</si>
  <si>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</si>
  <si>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</si>
  <si>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</si>
  <si>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</si>
  <si>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</si>
  <si>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</si>
  <si>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</si>
  <si>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</si>
  <si>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</si>
  <si>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</si>
  <si>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</si>
  <si>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</si>
  <si>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</si>
  <si>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</si>
  <si>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</si>
  <si>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</si>
  <si>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</si>
  <si>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</si>
  <si>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</si>
  <si>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</si>
  <si>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</si>
  <si>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</si>
  <si>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</si>
  <si>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</si>
  <si>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</si>
  <si>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</si>
  <si>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</si>
  <si>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</si>
  <si>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</si>
  <si>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</si>
  <si>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</si>
  <si>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</si>
  <si>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</si>
  <si>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</si>
  <si>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</si>
  <si>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</si>
  <si>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</si>
  <si>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</si>
  <si>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</si>
  <si>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</si>
  <si>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</si>
  <si>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</si>
  <si>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</si>
  <si>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</si>
  <si>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</si>
  <si>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</si>
  <si>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</si>
  <si>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</si>
  <si>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</si>
  <si>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</si>
  <si>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</si>
  <si>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</si>
  <si>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</si>
  <si>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</si>
  <si>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</si>
  <si>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</si>
  <si>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</si>
  <si>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</si>
  <si>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</si>
  <si>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</si>
  <si>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</si>
  <si>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</si>
  <si>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</si>
  <si>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</si>
  <si>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</si>
  <si>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</si>
  <si>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</si>
  <si>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</si>
  <si>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</si>
  <si>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</si>
  <si>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</si>
  <si>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</si>
  <si>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</si>
  <si>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</si>
  <si>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</si>
  <si>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</si>
  <si>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</si>
  <si>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</si>
  <si>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</si>
  <si>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</si>
  <si>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</si>
  <si>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</si>
  <si>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</si>
  <si>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</si>
  <si>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</si>
  <si>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</si>
  <si>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</si>
  <si>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</si>
  <si>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</si>
  <si>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</si>
  <si>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</si>
  <si>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</si>
  <si>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</si>
  <si>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</si>
  <si>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</si>
  <si>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</si>
  <si>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</si>
  <si>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</si>
  <si>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</si>
  <si>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</si>
  <si>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</si>
  <si>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</si>
  <si>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</si>
  <si>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</si>
  <si>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</si>
  <si>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</si>
  <si>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</si>
  <si>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</si>
  <si>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</si>
  <si>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</si>
  <si>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</si>
  <si>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</si>
  <si>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</si>
  <si>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</si>
  <si>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</si>
  <si>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</si>
  <si>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</si>
  <si>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</si>
  <si>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</si>
  <si>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</si>
  <si>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</si>
  <si>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</si>
  <si>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</si>
  <si>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</si>
  <si>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</si>
  <si>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</si>
  <si>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</si>
  <si>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</si>
  <si>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</si>
  <si>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</si>
  <si>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</si>
  <si>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</si>
  <si>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</si>
  <si>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</si>
  <si>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</si>
  <si>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</si>
  <si>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</si>
  <si>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</si>
  <si>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</si>
  <si>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</si>
  <si>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</si>
  <si>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</si>
  <si>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</si>
  <si>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</si>
  <si>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</si>
  <si>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</si>
  <si>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</si>
  <si>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</si>
  <si>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</si>
  <si>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</si>
  <si>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</si>
  <si>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</si>
  <si>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</si>
  <si>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</si>
  <si>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</si>
  <si>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</si>
  <si>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</si>
  <si>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</si>
  <si>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</si>
  <si>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</si>
  <si>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</si>
  <si>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</si>
  <si>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</si>
  <si>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</si>
  <si>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</si>
  <si>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</si>
  <si>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</si>
  <si>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</si>
  <si>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</si>
  <si>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</si>
  <si>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</si>
  <si>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</si>
  <si>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</si>
  <si>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</si>
  <si>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</si>
  <si>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</si>
  <si>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</si>
  <si>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</si>
  <si>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</si>
  <si>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</si>
  <si>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</si>
  <si>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</si>
  <si>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</si>
  <si>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</si>
  <si>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</si>
  <si>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</si>
  <si>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</si>
  <si>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</si>
  <si>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</si>
  <si>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</si>
  <si>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</si>
  <si>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</si>
  <si>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</si>
  <si>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</si>
  <si>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</si>
  <si>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</si>
  <si>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</si>
  <si>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</si>
  <si>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</si>
  <si>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</si>
  <si>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</si>
  <si>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</si>
  <si>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</si>
  <si>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</si>
  <si>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</si>
  <si>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</si>
  <si>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</si>
  <si>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</si>
  <si>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</si>
  <si>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</si>
  <si>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</si>
  <si>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</si>
  <si>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</si>
  <si>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</si>
  <si>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</si>
  <si>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</si>
  <si>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</si>
  <si>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</si>
  <si>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</si>
  <si>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</si>
  <si>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</si>
  <si>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</si>
  <si>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</si>
  <si>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</si>
  <si>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</si>
  <si>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</si>
  <si>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</si>
  <si>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</si>
  <si>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</si>
  <si>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</si>
  <si>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</si>
  <si>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</si>
  <si>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</si>
  <si>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</si>
  <si>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</si>
  <si>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</si>
  <si>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</si>
  <si>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</si>
  <si>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</si>
  <si>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</si>
  <si>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</si>
  <si>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</si>
  <si>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</si>
  <si>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</si>
  <si>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</si>
  <si>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</si>
  <si>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</si>
  <si>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</si>
  <si>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</si>
  <si>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</si>
  <si>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</si>
  <si>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</si>
  <si>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</si>
  <si>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</si>
  <si>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</si>
  <si>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</si>
  <si>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</si>
  <si>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</si>
  <si>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</si>
  <si>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</si>
  <si>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</si>
  <si>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</si>
  <si>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</si>
  <si>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</si>
  <si>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</si>
  <si>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</si>
  <si>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</si>
  <si>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</si>
  <si>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</si>
  <si>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</si>
  <si>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</si>
  <si>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</si>
  <si>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</si>
  <si>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</si>
  <si>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</si>
  <si>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</si>
  <si>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</si>
  <si>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</si>
  <si>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</si>
  <si>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</si>
  <si>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</si>
  <si>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</si>
  <si>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</si>
  <si>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</si>
  <si>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</si>
  <si>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</si>
  <si>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</si>
  <si>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</si>
  <si>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</si>
  <si>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</si>
  <si>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</si>
  <si>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</si>
  <si>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</si>
  <si>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</si>
  <si>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</si>
  <si>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</si>
  <si>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</si>
  <si>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</si>
  <si>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</si>
  <si>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</si>
  <si>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</si>
  <si>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</si>
  <si>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</si>
  <si>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</si>
  <si>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</si>
  <si>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</si>
  <si>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</si>
  <si>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</si>
  <si>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</si>
  <si>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</si>
  <si>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</si>
  <si>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</si>
  <si>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</si>
  <si>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</si>
  <si>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</si>
  <si>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</si>
  <si>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</si>
  <si>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</si>
  <si>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</si>
  <si>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</si>
  <si>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</si>
  <si>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</si>
  <si>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</si>
  <si>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</si>
  <si>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</si>
  <si>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</si>
  <si>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</si>
  <si>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</si>
  <si>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</si>
  <si>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</si>
  <si>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</si>
  <si>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</si>
  <si>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</si>
  <si>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</si>
  <si>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</si>
  <si>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</si>
  <si>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</si>
  <si>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</si>
  <si>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</si>
  <si>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</si>
  <si>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</si>
  <si>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</si>
  <si>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</si>
  <si>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</si>
  <si>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</si>
  <si>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</si>
  <si>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</si>
  <si>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</si>
  <si>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</si>
  <si>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</si>
  <si>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</si>
  <si>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</si>
  <si>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</si>
  <si>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</si>
  <si>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</si>
  <si>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</si>
  <si>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</si>
  <si>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</si>
  <si>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</si>
  <si>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</si>
  <si>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</si>
  <si>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</si>
  <si>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</si>
  <si>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</si>
  <si>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</si>
  <si>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</si>
  <si>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</si>
  <si>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</si>
  <si>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</si>
  <si>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</si>
  <si>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</si>
  <si>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</si>
  <si>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</si>
  <si>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</si>
  <si>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</si>
  <si>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</si>
  <si>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</si>
  <si>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</si>
  <si>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</si>
  <si>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44034</t>
  </si>
  <si>
    <t>LOCHRISTI</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</si>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</sst>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94EA3AC6-DBA7-44E9-BD3C-EEFDC587A48E}"/>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182437.5289190833</c:v>
                </c:pt>
                <c:pt idx="1">
                  <c:v>66488.666020091478</c:v>
                </c:pt>
                <c:pt idx="2">
                  <c:v>1709.807</c:v>
                </c:pt>
                <c:pt idx="3">
                  <c:v>96479.652209573425</c:v>
                </c:pt>
                <c:pt idx="4">
                  <c:v>41119.113544586384</c:v>
                </c:pt>
                <c:pt idx="5">
                  <c:v>285151.0955045211</c:v>
                </c:pt>
                <c:pt idx="6">
                  <c:v>2315.1798410181709</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182437.5289190833</c:v>
                </c:pt>
                <c:pt idx="1">
                  <c:v>66488.666020091478</c:v>
                </c:pt>
                <c:pt idx="2">
                  <c:v>1709.807</c:v>
                </c:pt>
                <c:pt idx="3">
                  <c:v>96479.652209573425</c:v>
                </c:pt>
                <c:pt idx="4">
                  <c:v>41119.113544586384</c:v>
                </c:pt>
                <c:pt idx="5">
                  <c:v>285151.0955045211</c:v>
                </c:pt>
                <c:pt idx="6">
                  <c:v>2315.1798410181709</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37312.068597156489</c:v>
                </c:pt>
                <c:pt idx="2">
                  <c:v>13208.753339538485</c:v>
                </c:pt>
                <c:pt idx="3">
                  <c:v>324.45670553331092</c:v>
                </c:pt>
                <c:pt idx="4">
                  <c:v>22674.658502128961</c:v>
                </c:pt>
                <c:pt idx="5">
                  <c:v>8242.2018840195469</c:v>
                </c:pt>
                <c:pt idx="6">
                  <c:v>73180.965147529976</c:v>
                </c:pt>
                <c:pt idx="7">
                  <c:v>598.57473613265313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37312.068597156489</c:v>
                </c:pt>
                <c:pt idx="2">
                  <c:v>13208.753339538485</c:v>
                </c:pt>
                <c:pt idx="3">
                  <c:v>324.45670553331092</c:v>
                </c:pt>
                <c:pt idx="4">
                  <c:v>22674.658502128961</c:v>
                </c:pt>
                <c:pt idx="5">
                  <c:v>8242.2018840195469</c:v>
                </c:pt>
                <c:pt idx="6">
                  <c:v>73180.965147529976</c:v>
                </c:pt>
                <c:pt idx="7">
                  <c:v>598.57473613265313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44034</v>
      </c>
      <c r="B6" s="380"/>
      <c r="C6" s="381"/>
    </row>
    <row r="7" spans="1:7" s="378" customFormat="1" ht="15.75" customHeight="1">
      <c r="A7" s="382" t="str">
        <f>txtMunicipality</f>
        <v>LOCHRISTI</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0.18976218107266546</v>
      </c>
      <c r="C17" s="488">
        <f ca="1">'EF ele_warmte'!B22</f>
        <v>0.23618038167738944</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0.18976218107266546</v>
      </c>
      <c r="C29" s="489">
        <f ca="1">'EF ele_warmte'!B22</f>
        <v>0.23618038167738944</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8656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3527.41</v>
      </c>
      <c r="C14" s="322"/>
      <c r="D14" s="322"/>
      <c r="E14" s="322"/>
      <c r="F14" s="322"/>
    </row>
    <row r="15" spans="1:6">
      <c r="A15" s="1248" t="s">
        <v>177</v>
      </c>
      <c r="B15" s="1249">
        <v>67</v>
      </c>
      <c r="C15" s="322"/>
      <c r="D15" s="322"/>
      <c r="E15" s="322"/>
      <c r="F15" s="322"/>
    </row>
    <row r="16" spans="1:6">
      <c r="A16" s="1248" t="s">
        <v>6</v>
      </c>
      <c r="B16" s="1249">
        <v>2036</v>
      </c>
      <c r="C16" s="322"/>
      <c r="D16" s="322"/>
      <c r="E16" s="322"/>
      <c r="F16" s="322"/>
    </row>
    <row r="17" spans="1:6">
      <c r="A17" s="1248" t="s">
        <v>7</v>
      </c>
      <c r="B17" s="1249">
        <v>1570</v>
      </c>
      <c r="C17" s="322"/>
      <c r="D17" s="322"/>
      <c r="E17" s="322"/>
      <c r="F17" s="322"/>
    </row>
    <row r="18" spans="1:6">
      <c r="A18" s="1248" t="s">
        <v>8</v>
      </c>
      <c r="B18" s="1249">
        <v>2639</v>
      </c>
      <c r="C18" s="322"/>
      <c r="D18" s="322"/>
      <c r="E18" s="322"/>
      <c r="F18" s="322"/>
    </row>
    <row r="19" spans="1:6">
      <c r="A19" s="1248" t="s">
        <v>9</v>
      </c>
      <c r="B19" s="1249">
        <v>2764</v>
      </c>
      <c r="C19" s="322"/>
      <c r="D19" s="322"/>
      <c r="E19" s="322"/>
      <c r="F19" s="322"/>
    </row>
    <row r="20" spans="1:6">
      <c r="A20" s="1248" t="s">
        <v>10</v>
      </c>
      <c r="B20" s="1249">
        <v>1783</v>
      </c>
      <c r="C20" s="322"/>
      <c r="D20" s="322"/>
      <c r="E20" s="322"/>
      <c r="F20" s="322"/>
    </row>
    <row r="21" spans="1:6">
      <c r="A21" s="1248" t="s">
        <v>11</v>
      </c>
      <c r="B21" s="1249">
        <v>13990</v>
      </c>
      <c r="C21" s="322"/>
      <c r="D21" s="322"/>
      <c r="E21" s="322"/>
      <c r="F21" s="322"/>
    </row>
    <row r="22" spans="1:6">
      <c r="A22" s="1248" t="s">
        <v>12</v>
      </c>
      <c r="B22" s="1249">
        <v>11019</v>
      </c>
      <c r="C22" s="322"/>
      <c r="D22" s="322"/>
      <c r="E22" s="322"/>
      <c r="F22" s="322"/>
    </row>
    <row r="23" spans="1:6">
      <c r="A23" s="1248" t="s">
        <v>13</v>
      </c>
      <c r="B23" s="1249">
        <v>283</v>
      </c>
      <c r="C23" s="322"/>
      <c r="D23" s="322"/>
      <c r="E23" s="322"/>
      <c r="F23" s="322"/>
    </row>
    <row r="24" spans="1:6">
      <c r="A24" s="1248" t="s">
        <v>14</v>
      </c>
      <c r="B24" s="1249">
        <v>19</v>
      </c>
      <c r="C24" s="322"/>
      <c r="D24" s="322"/>
      <c r="E24" s="322"/>
      <c r="F24" s="322"/>
    </row>
    <row r="25" spans="1:6">
      <c r="A25" s="1248" t="s">
        <v>15</v>
      </c>
      <c r="B25" s="1249">
        <v>3593</v>
      </c>
      <c r="C25" s="322"/>
      <c r="D25" s="322"/>
      <c r="E25" s="322"/>
      <c r="F25" s="322"/>
    </row>
    <row r="26" spans="1:6">
      <c r="A26" s="1248" t="s">
        <v>16</v>
      </c>
      <c r="B26" s="1249">
        <v>583</v>
      </c>
      <c r="C26" s="322"/>
      <c r="D26" s="322"/>
      <c r="E26" s="322"/>
      <c r="F26" s="322"/>
    </row>
    <row r="27" spans="1:6">
      <c r="A27" s="1248" t="s">
        <v>17</v>
      </c>
      <c r="B27" s="1249">
        <v>607</v>
      </c>
      <c r="C27" s="322"/>
      <c r="D27" s="322"/>
      <c r="E27" s="322"/>
      <c r="F27" s="322"/>
    </row>
    <row r="28" spans="1:6">
      <c r="A28" s="1248" t="s">
        <v>18</v>
      </c>
      <c r="B28" s="1250">
        <v>48213</v>
      </c>
      <c r="C28" s="322"/>
      <c r="D28" s="322"/>
      <c r="E28" s="322"/>
      <c r="F28" s="322"/>
    </row>
    <row r="29" spans="1:6">
      <c r="A29" s="1248" t="s">
        <v>884</v>
      </c>
      <c r="B29" s="1250">
        <v>173</v>
      </c>
      <c r="C29" s="322"/>
      <c r="D29" s="322"/>
      <c r="E29" s="322"/>
      <c r="F29" s="322"/>
    </row>
    <row r="30" spans="1:6">
      <c r="A30" s="1243" t="s">
        <v>885</v>
      </c>
      <c r="B30" s="1251">
        <v>62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227145.86629000001</v>
      </c>
      <c r="E38" s="1249">
        <v>6</v>
      </c>
      <c r="F38" s="1249">
        <v>141194.16837999999</v>
      </c>
    </row>
    <row r="39" spans="1:6">
      <c r="A39" s="1248" t="s">
        <v>29</v>
      </c>
      <c r="B39" s="1248" t="s">
        <v>30</v>
      </c>
      <c r="C39" s="1249">
        <v>5010</v>
      </c>
      <c r="D39" s="1249">
        <v>77356247.524000004</v>
      </c>
      <c r="E39" s="1249">
        <v>8184</v>
      </c>
      <c r="F39" s="1249">
        <v>35811714.464000002</v>
      </c>
    </row>
    <row r="40" spans="1:6">
      <c r="A40" s="1248" t="s">
        <v>29</v>
      </c>
      <c r="B40" s="1248" t="s">
        <v>28</v>
      </c>
      <c r="C40" s="1249">
        <v>0</v>
      </c>
      <c r="D40" s="1249">
        <v>0</v>
      </c>
      <c r="E40" s="1249">
        <v>0</v>
      </c>
      <c r="F40" s="1249">
        <v>0</v>
      </c>
    </row>
    <row r="41" spans="1:6">
      <c r="A41" s="1248" t="s">
        <v>31</v>
      </c>
      <c r="B41" s="1248" t="s">
        <v>32</v>
      </c>
      <c r="C41" s="1249">
        <v>93</v>
      </c>
      <c r="D41" s="1249">
        <v>1947052.6828999999</v>
      </c>
      <c r="E41" s="1249">
        <v>212</v>
      </c>
      <c r="F41" s="1249">
        <v>3314792.3826000001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4</v>
      </c>
      <c r="D44" s="1249">
        <v>113416.55862</v>
      </c>
      <c r="E44" s="1249">
        <v>25</v>
      </c>
      <c r="F44" s="1249">
        <v>512719.27386000002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8</v>
      </c>
      <c r="D47" s="1249">
        <v>183680.60823000001</v>
      </c>
      <c r="E47" s="1249">
        <v>10</v>
      </c>
      <c r="F47" s="1249">
        <v>141363.30510999999</v>
      </c>
    </row>
    <row r="48" spans="1:6">
      <c r="A48" s="1248" t="s">
        <v>31</v>
      </c>
      <c r="B48" s="1248" t="s">
        <v>28</v>
      </c>
      <c r="C48" s="1249">
        <v>21</v>
      </c>
      <c r="D48" s="1249">
        <v>23134752.763</v>
      </c>
      <c r="E48" s="1249">
        <v>28</v>
      </c>
      <c r="F48" s="1249">
        <v>1402185.1998999999</v>
      </c>
    </row>
    <row r="49" spans="1:6">
      <c r="A49" s="1248" t="s">
        <v>31</v>
      </c>
      <c r="B49" s="1248" t="s">
        <v>39</v>
      </c>
      <c r="C49" s="1249">
        <v>0</v>
      </c>
      <c r="D49" s="1249">
        <v>0</v>
      </c>
      <c r="E49" s="1249">
        <v>0</v>
      </c>
      <c r="F49" s="1249">
        <v>0</v>
      </c>
    </row>
    <row r="50" spans="1:6">
      <c r="A50" s="1248" t="s">
        <v>31</v>
      </c>
      <c r="B50" s="1248" t="s">
        <v>40</v>
      </c>
      <c r="C50" s="1249">
        <v>11</v>
      </c>
      <c r="D50" s="1249">
        <v>4914521.5324999997</v>
      </c>
      <c r="E50" s="1249">
        <v>16</v>
      </c>
      <c r="F50" s="1249">
        <v>2258728.7861000001</v>
      </c>
    </row>
    <row r="51" spans="1:6">
      <c r="A51" s="1248" t="s">
        <v>41</v>
      </c>
      <c r="B51" s="1248" t="s">
        <v>42</v>
      </c>
      <c r="C51" s="1249">
        <v>99</v>
      </c>
      <c r="D51" s="1249">
        <v>58452399.622000001</v>
      </c>
      <c r="E51" s="1249">
        <v>406</v>
      </c>
      <c r="F51" s="1249">
        <v>10795956.408</v>
      </c>
    </row>
    <row r="52" spans="1:6">
      <c r="A52" s="1248" t="s">
        <v>41</v>
      </c>
      <c r="B52" s="1248" t="s">
        <v>28</v>
      </c>
      <c r="C52" s="1249">
        <v>8</v>
      </c>
      <c r="D52" s="1249">
        <v>141578.88338000001</v>
      </c>
      <c r="E52" s="1249">
        <v>7</v>
      </c>
      <c r="F52" s="1249">
        <v>96057.125102999998</v>
      </c>
    </row>
    <row r="53" spans="1:6">
      <c r="A53" s="1248" t="s">
        <v>43</v>
      </c>
      <c r="B53" s="1248" t="s">
        <v>44</v>
      </c>
      <c r="C53" s="1249">
        <v>112</v>
      </c>
      <c r="D53" s="1249">
        <v>1601698.2368999999</v>
      </c>
      <c r="E53" s="1249">
        <v>265</v>
      </c>
      <c r="F53" s="1249">
        <v>1189061.0514</v>
      </c>
    </row>
    <row r="54" spans="1:6">
      <c r="A54" s="1248" t="s">
        <v>45</v>
      </c>
      <c r="B54" s="1248" t="s">
        <v>46</v>
      </c>
      <c r="C54" s="1249">
        <v>0</v>
      </c>
      <c r="D54" s="1249">
        <v>0</v>
      </c>
      <c r="E54" s="1249">
        <v>4</v>
      </c>
      <c r="F54" s="1249">
        <v>1709807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56</v>
      </c>
      <c r="D57" s="1249">
        <v>6506802.1689999998</v>
      </c>
      <c r="E57" s="1249">
        <v>158</v>
      </c>
      <c r="F57" s="1249">
        <v>2788839.0326999999</v>
      </c>
    </row>
    <row r="58" spans="1:6">
      <c r="A58" s="1248" t="s">
        <v>48</v>
      </c>
      <c r="B58" s="1248" t="s">
        <v>50</v>
      </c>
      <c r="C58" s="1249">
        <v>23</v>
      </c>
      <c r="D58" s="1249">
        <v>726332.31510000001</v>
      </c>
      <c r="E58" s="1249">
        <v>51</v>
      </c>
      <c r="F58" s="1249">
        <v>1482913.4659</v>
      </c>
    </row>
    <row r="59" spans="1:6">
      <c r="A59" s="1248" t="s">
        <v>48</v>
      </c>
      <c r="B59" s="1248" t="s">
        <v>51</v>
      </c>
      <c r="C59" s="1249">
        <v>147</v>
      </c>
      <c r="D59" s="1249">
        <v>8577230.6033999994</v>
      </c>
      <c r="E59" s="1249">
        <v>313</v>
      </c>
      <c r="F59" s="1249">
        <v>13017308.533</v>
      </c>
    </row>
    <row r="60" spans="1:6">
      <c r="A60" s="1248" t="s">
        <v>48</v>
      </c>
      <c r="B60" s="1248" t="s">
        <v>52</v>
      </c>
      <c r="C60" s="1249">
        <v>68</v>
      </c>
      <c r="D60" s="1249">
        <v>3872296.9575</v>
      </c>
      <c r="E60" s="1249">
        <v>89</v>
      </c>
      <c r="F60" s="1249">
        <v>2405360.2721000002</v>
      </c>
    </row>
    <row r="61" spans="1:6">
      <c r="A61" s="1248" t="s">
        <v>48</v>
      </c>
      <c r="B61" s="1248" t="s">
        <v>53</v>
      </c>
      <c r="C61" s="1249">
        <v>179</v>
      </c>
      <c r="D61" s="1249">
        <v>6976777.4889000002</v>
      </c>
      <c r="E61" s="1249">
        <v>336</v>
      </c>
      <c r="F61" s="1249">
        <v>7582645.7012</v>
      </c>
    </row>
    <row r="62" spans="1:6">
      <c r="A62" s="1248" t="s">
        <v>48</v>
      </c>
      <c r="B62" s="1248" t="s">
        <v>54</v>
      </c>
      <c r="C62" s="1249">
        <v>10</v>
      </c>
      <c r="D62" s="1249">
        <v>363848.47181000002</v>
      </c>
      <c r="E62" s="1249">
        <v>15</v>
      </c>
      <c r="F62" s="1249">
        <v>187838.15239</v>
      </c>
    </row>
    <row r="63" spans="1:6">
      <c r="A63" s="1248" t="s">
        <v>48</v>
      </c>
      <c r="B63" s="1248" t="s">
        <v>28</v>
      </c>
      <c r="C63" s="1249">
        <v>105</v>
      </c>
      <c r="D63" s="1249">
        <v>5941936.46</v>
      </c>
      <c r="E63" s="1249">
        <v>82</v>
      </c>
      <c r="F63" s="1249">
        <v>1500933.3084</v>
      </c>
    </row>
    <row r="64" spans="1:6">
      <c r="A64" s="1248" t="s">
        <v>55</v>
      </c>
      <c r="B64" s="1248" t="s">
        <v>56</v>
      </c>
      <c r="C64" s="1249">
        <v>0</v>
      </c>
      <c r="D64" s="1249">
        <v>0</v>
      </c>
      <c r="E64" s="1249">
        <v>0</v>
      </c>
      <c r="F64" s="1249">
        <v>0</v>
      </c>
    </row>
    <row r="65" spans="1:6">
      <c r="A65" s="1248" t="s">
        <v>55</v>
      </c>
      <c r="B65" s="1248" t="s">
        <v>28</v>
      </c>
      <c r="C65" s="1249">
        <v>3</v>
      </c>
      <c r="D65" s="1249">
        <v>91449.088071000006</v>
      </c>
      <c r="E65" s="1249">
        <v>4</v>
      </c>
      <c r="F65" s="1249">
        <v>7209.8439729000002</v>
      </c>
    </row>
    <row r="66" spans="1:6">
      <c r="A66" s="1248" t="s">
        <v>55</v>
      </c>
      <c r="B66" s="1248" t="s">
        <v>57</v>
      </c>
      <c r="C66" s="1249">
        <v>0</v>
      </c>
      <c r="D66" s="1249">
        <v>0</v>
      </c>
      <c r="E66" s="1249">
        <v>10</v>
      </c>
      <c r="F66" s="1249">
        <v>410426.48307999998</v>
      </c>
    </row>
    <row r="67" spans="1:6">
      <c r="A67" s="1248" t="s">
        <v>55</v>
      </c>
      <c r="B67" s="1248" t="s">
        <v>58</v>
      </c>
      <c r="C67" s="1249">
        <v>0</v>
      </c>
      <c r="D67" s="1249">
        <v>0</v>
      </c>
      <c r="E67" s="1249">
        <v>0</v>
      </c>
      <c r="F67" s="1249">
        <v>0</v>
      </c>
    </row>
    <row r="68" spans="1:6">
      <c r="A68" s="1243" t="s">
        <v>55</v>
      </c>
      <c r="B68" s="1243" t="s">
        <v>59</v>
      </c>
      <c r="C68" s="1251">
        <v>9</v>
      </c>
      <c r="D68" s="1251">
        <v>284940.91975</v>
      </c>
      <c r="E68" s="1251">
        <v>23</v>
      </c>
      <c r="F68" s="1251">
        <v>222046.75698999999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62338738</v>
      </c>
      <c r="E73" s="439"/>
      <c r="F73" s="322"/>
    </row>
    <row r="74" spans="1:6">
      <c r="A74" s="1248" t="s">
        <v>63</v>
      </c>
      <c r="B74" s="1248" t="s">
        <v>626</v>
      </c>
      <c r="C74" s="1261" t="s">
        <v>628</v>
      </c>
      <c r="D74" s="1249">
        <v>7405853.1420836579</v>
      </c>
      <c r="E74" s="439"/>
      <c r="F74" s="322"/>
    </row>
    <row r="75" spans="1:6">
      <c r="A75" s="1248" t="s">
        <v>64</v>
      </c>
      <c r="B75" s="1248" t="s">
        <v>625</v>
      </c>
      <c r="C75" s="1261" t="s">
        <v>629</v>
      </c>
      <c r="D75" s="1249">
        <v>29419630</v>
      </c>
      <c r="E75" s="439"/>
      <c r="F75" s="322"/>
    </row>
    <row r="76" spans="1:6">
      <c r="A76" s="1248" t="s">
        <v>64</v>
      </c>
      <c r="B76" s="1248" t="s">
        <v>626</v>
      </c>
      <c r="C76" s="1261" t="s">
        <v>630</v>
      </c>
      <c r="D76" s="1249">
        <v>1336265.1420836581</v>
      </c>
      <c r="E76" s="439"/>
      <c r="F76" s="322"/>
    </row>
    <row r="77" spans="1:6">
      <c r="A77" s="1248" t="s">
        <v>65</v>
      </c>
      <c r="B77" s="1248" t="s">
        <v>625</v>
      </c>
      <c r="C77" s="1261" t="s">
        <v>631</v>
      </c>
      <c r="D77" s="1249">
        <v>148636701</v>
      </c>
      <c r="E77" s="439"/>
      <c r="F77" s="322"/>
    </row>
    <row r="78" spans="1:6">
      <c r="A78" s="1243" t="s">
        <v>65</v>
      </c>
      <c r="B78" s="1243" t="s">
        <v>626</v>
      </c>
      <c r="C78" s="1243" t="s">
        <v>632</v>
      </c>
      <c r="D78" s="1251">
        <v>36287928</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626175.71583268361</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7231.7903095915208</v>
      </c>
      <c r="C90" s="322"/>
      <c r="D90" s="322"/>
      <c r="E90" s="322"/>
      <c r="F90" s="322"/>
    </row>
    <row r="91" spans="1:6">
      <c r="A91" s="1248" t="s">
        <v>67</v>
      </c>
      <c r="B91" s="1249">
        <v>5661.1043485415321</v>
      </c>
      <c r="C91" s="322"/>
      <c r="D91" s="322"/>
      <c r="E91" s="322"/>
      <c r="F91" s="322"/>
    </row>
    <row r="92" spans="1:6">
      <c r="A92" s="1243" t="s">
        <v>68</v>
      </c>
      <c r="B92" s="1244">
        <v>607.26324603447983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1839</v>
      </c>
      <c r="C97" s="322"/>
      <c r="D97" s="322"/>
      <c r="E97" s="322"/>
      <c r="F97" s="322"/>
    </row>
    <row r="98" spans="1:6">
      <c r="A98" s="1248" t="s">
        <v>71</v>
      </c>
      <c r="B98" s="1249">
        <v>1</v>
      </c>
      <c r="C98" s="322"/>
      <c r="D98" s="322"/>
      <c r="E98" s="322"/>
      <c r="F98" s="322"/>
    </row>
    <row r="99" spans="1:6">
      <c r="A99" s="1248" t="s">
        <v>72</v>
      </c>
      <c r="B99" s="1249">
        <v>88</v>
      </c>
      <c r="C99" s="322"/>
      <c r="D99" s="322"/>
      <c r="E99" s="322"/>
      <c r="F99" s="322"/>
    </row>
    <row r="100" spans="1:6">
      <c r="A100" s="1248" t="s">
        <v>73</v>
      </c>
      <c r="B100" s="1249">
        <v>900</v>
      </c>
      <c r="C100" s="322"/>
      <c r="D100" s="322"/>
      <c r="E100" s="322"/>
      <c r="F100" s="322"/>
    </row>
    <row r="101" spans="1:6">
      <c r="A101" s="1248" t="s">
        <v>74</v>
      </c>
      <c r="B101" s="1249">
        <v>104</v>
      </c>
      <c r="C101" s="322"/>
      <c r="D101" s="322"/>
      <c r="E101" s="322"/>
      <c r="F101" s="322"/>
    </row>
    <row r="102" spans="1:6">
      <c r="A102" s="1248" t="s">
        <v>75</v>
      </c>
      <c r="B102" s="1249">
        <v>110</v>
      </c>
      <c r="C102" s="322"/>
      <c r="D102" s="322"/>
      <c r="E102" s="322"/>
      <c r="F102" s="322"/>
    </row>
    <row r="103" spans="1:6">
      <c r="A103" s="1248" t="s">
        <v>76</v>
      </c>
      <c r="B103" s="1249">
        <v>301</v>
      </c>
      <c r="C103" s="322"/>
      <c r="D103" s="322"/>
      <c r="E103" s="322"/>
      <c r="F103" s="322"/>
    </row>
    <row r="104" spans="1:6">
      <c r="A104" s="1248" t="s">
        <v>77</v>
      </c>
      <c r="B104" s="1249">
        <v>3609</v>
      </c>
      <c r="C104" s="322"/>
      <c r="D104" s="322"/>
      <c r="E104" s="322"/>
      <c r="F104" s="322"/>
    </row>
    <row r="105" spans="1:6">
      <c r="A105" s="1243" t="s">
        <v>78</v>
      </c>
      <c r="B105" s="1251">
        <v>12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58</v>
      </c>
      <c r="C123" s="1249">
        <v>63</v>
      </c>
      <c r="D123" s="322"/>
      <c r="E123" s="322"/>
      <c r="F123" s="322"/>
    </row>
    <row r="124" spans="1:6">
      <c r="A124" s="1248" t="s">
        <v>88</v>
      </c>
      <c r="B124" s="1249">
        <v>5</v>
      </c>
      <c r="C124" s="1249">
        <v>2</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229</v>
      </c>
      <c r="C129" s="322"/>
      <c r="D129" s="322"/>
      <c r="E129" s="322"/>
      <c r="F129" s="322"/>
    </row>
    <row r="130" spans="1:6">
      <c r="A130" s="1248" t="s">
        <v>284</v>
      </c>
      <c r="B130" s="1249">
        <v>1</v>
      </c>
      <c r="C130" s="322"/>
      <c r="D130" s="322"/>
      <c r="E130" s="322"/>
      <c r="F130" s="322"/>
    </row>
    <row r="131" spans="1:6">
      <c r="A131" s="1248" t="s">
        <v>285</v>
      </c>
      <c r="B131" s="1249">
        <v>1</v>
      </c>
      <c r="C131" s="322"/>
      <c r="D131" s="322"/>
      <c r="E131" s="322"/>
      <c r="F131" s="322"/>
    </row>
    <row r="132" spans="1:6">
      <c r="A132" s="1243" t="s">
        <v>286</v>
      </c>
      <c r="B132" s="1244">
        <v>31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92073.309504770092</v>
      </c>
      <c r="C3" s="43" t="s">
        <v>163</v>
      </c>
      <c r="D3" s="43"/>
      <c r="E3" s="153"/>
      <c r="F3" s="43"/>
      <c r="G3" s="43"/>
      <c r="H3" s="43"/>
      <c r="I3" s="43"/>
      <c r="J3" s="43"/>
      <c r="K3" s="96"/>
    </row>
    <row r="4" spans="1:11">
      <c r="A4" s="348" t="s">
        <v>164</v>
      </c>
      <c r="B4" s="49">
        <f>IF(ISERROR('SEAP template'!B78+'SEAP template'!C78),0,'SEAP template'!B78+'SEAP template'!C78)</f>
        <v>20572.80790416753</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1670.4211764705885</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0.18976218107266546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2386.3159663865549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10103.785714285714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0.23618038167738944</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1709.807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1709.807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0.18976218107266546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324.45670553331092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35811.714464000004</v>
      </c>
      <c r="C5" s="17">
        <f>IF(ISERROR('Eigen informatie GS &amp; warmtenet'!B57),0,'Eigen informatie GS &amp; warmtenet'!B57)</f>
        <v>0</v>
      </c>
      <c r="D5" s="30">
        <f>(SUM(HH_hh_gas_kWh,HH_rest_gas_kWh)/1000)*0.902</f>
        <v>69775.335266648006</v>
      </c>
      <c r="E5" s="17">
        <f>B32*B41</f>
        <v>2002.6210822262212</v>
      </c>
      <c r="F5" s="17">
        <f>B36*B45</f>
        <v>54447.303294349564</v>
      </c>
      <c r="G5" s="18"/>
      <c r="H5" s="17"/>
      <c r="I5" s="17"/>
      <c r="J5" s="17">
        <f>B35*B44+C35*C44</f>
        <v>1004.1055224224482</v>
      </c>
      <c r="K5" s="17"/>
      <c r="L5" s="17"/>
      <c r="M5" s="17"/>
      <c r="N5" s="17">
        <f>B34*B43+C34*C43</f>
        <v>11483.458274228888</v>
      </c>
      <c r="O5" s="17">
        <f>B52*B53*B54</f>
        <v>459.62</v>
      </c>
      <c r="P5" s="17">
        <f>B60*B61*B62/1000-B60*B61*B62/1000/B63</f>
        <v>1792.2666666666667</v>
      </c>
    </row>
    <row r="6" spans="1:16">
      <c r="A6" s="16" t="s">
        <v>586</v>
      </c>
      <c r="B6" s="716">
        <f>kWh_PV_kleiner_dan_10kW</f>
        <v>5661.1043485415321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41472.818812541533</v>
      </c>
      <c r="C8" s="21">
        <f>C5</f>
        <v>0</v>
      </c>
      <c r="D8" s="21">
        <f>D5</f>
        <v>69775.335266648006</v>
      </c>
      <c r="E8" s="21">
        <f>E5</f>
        <v>2002.6210822262212</v>
      </c>
      <c r="F8" s="21">
        <f>F5</f>
        <v>54447.303294349564</v>
      </c>
      <c r="G8" s="21"/>
      <c r="H8" s="21"/>
      <c r="I8" s="21"/>
      <c r="J8" s="21">
        <f>J5</f>
        <v>1004.1055224224482</v>
      </c>
      <c r="K8" s="21"/>
      <c r="L8" s="21">
        <f>L5</f>
        <v>0</v>
      </c>
      <c r="M8" s="21">
        <f>M5</f>
        <v>0</v>
      </c>
      <c r="N8" s="21">
        <f>N5</f>
        <v>11483.458274228888</v>
      </c>
      <c r="O8" s="21">
        <f>O5</f>
        <v>459.62</v>
      </c>
      <c r="P8" s="21">
        <f>P5</f>
        <v>1792.2666666666667</v>
      </c>
    </row>
    <row r="9" spans="1:16">
      <c r="B9" s="19"/>
      <c r="C9" s="19"/>
      <c r="D9" s="253"/>
      <c r="E9" s="19"/>
      <c r="F9" s="19"/>
      <c r="G9" s="19"/>
      <c r="H9" s="19"/>
      <c r="I9" s="19"/>
      <c r="J9" s="19"/>
      <c r="K9" s="19"/>
      <c r="L9" s="19"/>
      <c r="M9" s="19"/>
      <c r="N9" s="19"/>
      <c r="O9" s="19"/>
      <c r="P9" s="19"/>
    </row>
    <row r="10" spans="1:16">
      <c r="A10" s="24" t="s">
        <v>207</v>
      </c>
      <c r="B10" s="25">
        <f ca="1">'EF ele_warmte'!B12</f>
        <v>0.18976218107266546</v>
      </c>
      <c r="C10" s="25">
        <f ca="1">'EF ele_warmte'!B22</f>
        <v>0.23618038167738944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7869.9725530993528</v>
      </c>
      <c r="C12" s="23">
        <f ca="1">C10*C8</f>
        <v>0</v>
      </c>
      <c r="D12" s="23">
        <f>D8*D10</f>
        <v>14094.617723862899</v>
      </c>
      <c r="E12" s="23">
        <f>E10*E8</f>
        <v>454.59498566535223</v>
      </c>
      <c r="F12" s="23">
        <f>F10*F8</f>
        <v>14537.429979591334</v>
      </c>
      <c r="G12" s="23"/>
      <c r="H12" s="23"/>
      <c r="I12" s="23"/>
      <c r="J12" s="23">
        <f>J10*J8</f>
        <v>355.45335493754664</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8656</v>
      </c>
      <c r="C26" s="36"/>
      <c r="D26" s="224"/>
    </row>
    <row r="27" spans="1:5" s="15" customFormat="1">
      <c r="A27" s="226" t="s">
        <v>655</v>
      </c>
      <c r="B27" s="37">
        <f>SUM(HH_hh_gas_aantal,HH_rest_gas_aantal)</f>
        <v>5010</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4759.5</v>
      </c>
      <c r="C31" s="34" t="s">
        <v>104</v>
      </c>
      <c r="D31" s="170"/>
    </row>
    <row r="32" spans="1:5">
      <c r="A32" s="167" t="s">
        <v>72</v>
      </c>
      <c r="B32" s="33">
        <f>IF((B21*($B$26-($B$27-0.05*$B$27)-$B$60))&lt;0,0,B21*($B$26-($B$27-0.05*$B$27)-$B$60))</f>
        <v>24.539155525621812</v>
      </c>
      <c r="C32" s="34" t="s">
        <v>104</v>
      </c>
      <c r="D32" s="170"/>
    </row>
    <row r="33" spans="1:6">
      <c r="A33" s="167" t="s">
        <v>73</v>
      </c>
      <c r="B33" s="33">
        <f>IF((B22*($B$26-($B$27-0.05*$B$27)-$B$60))&lt;0,0,B22*($B$26-($B$27-0.05*$B$27)-$B$60))</f>
        <v>854.54253914826563</v>
      </c>
      <c r="C33" s="34" t="s">
        <v>104</v>
      </c>
      <c r="D33" s="170"/>
    </row>
    <row r="34" spans="1:6">
      <c r="A34" s="167" t="s">
        <v>74</v>
      </c>
      <c r="B34" s="33">
        <f>IF((B24*($B$26-($B$27-0.05*$B$27)-$B$60))&lt;0,0,B24*($B$26-($B$27-0.05*$B$27)-$B$60))</f>
        <v>169.69463730601814</v>
      </c>
      <c r="C34" s="33">
        <f>B26*C24</f>
        <v>1771.5572184908478</v>
      </c>
      <c r="D34" s="229"/>
    </row>
    <row r="35" spans="1:6">
      <c r="A35" s="167" t="s">
        <v>76</v>
      </c>
      <c r="B35" s="33">
        <f>IF((B19*($B$26-($B$27-0.05*$B$27)-$B$60))&lt;0,0,B19*($B$26-($B$27-0.05*$B$27)-$B$60))</f>
        <v>82.870439671448864</v>
      </c>
      <c r="C35" s="33">
        <f>B35/2</f>
        <v>41.435219835724432</v>
      </c>
      <c r="D35" s="229"/>
    </row>
    <row r="36" spans="1:6">
      <c r="A36" s="167" t="s">
        <v>77</v>
      </c>
      <c r="B36" s="33">
        <f>IF((B18*($B$26-($B$27-0.05*$B$27)-$B$60))&lt;0,0,B18*($B$26-($B$27-0.05*$B$27)-$B$60))</f>
        <v>2670.8532283486466</v>
      </c>
      <c r="C36" s="34" t="s">
        <v>104</v>
      </c>
      <c r="D36" s="170"/>
    </row>
    <row r="37" spans="1:6">
      <c r="A37" s="167" t="s">
        <v>78</v>
      </c>
      <c r="B37" s="33">
        <f>B60</f>
        <v>94</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294</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94</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28965.838465689994</v>
      </c>
      <c r="C5" s="17">
        <f>IF(ISERROR('Eigen informatie GS &amp; warmtenet'!B58),0,'Eigen informatie GS &amp; warmtenet'!B58)</f>
        <v>0</v>
      </c>
      <c r="D5" s="30">
        <f>SUM(D6:D12)</f>
        <v>29734.63246807042</v>
      </c>
      <c r="E5" s="17">
        <f>SUM(E6:E12)</f>
        <v>514.77299161411884</v>
      </c>
      <c r="F5" s="17">
        <f>SUM(F6:F12)</f>
        <v>5976.095965226742</v>
      </c>
      <c r="G5" s="18"/>
      <c r="H5" s="17"/>
      <c r="I5" s="17"/>
      <c r="J5" s="17">
        <f>SUM(J6:J12)</f>
        <v>3.7070589653580802E-2</v>
      </c>
      <c r="K5" s="17"/>
      <c r="L5" s="17"/>
      <c r="M5" s="17"/>
      <c r="N5" s="17">
        <f>SUM(N6:N12)</f>
        <v>1334.5162017576854</v>
      </c>
      <c r="O5" s="17">
        <f>B38*B39*B40</f>
        <v>1.5633333333333335</v>
      </c>
      <c r="P5" s="17">
        <f>B46*B47*B48/1000-B46*B47*B48/1000/B49</f>
        <v>19.066666666666666</v>
      </c>
      <c r="R5" s="32"/>
    </row>
    <row r="6" spans="1:18">
      <c r="A6" s="32" t="s">
        <v>53</v>
      </c>
      <c r="B6" s="37">
        <f>B26</f>
        <v>7582.6457012000001</v>
      </c>
      <c r="C6" s="33"/>
      <c r="D6" s="37">
        <f>IF(ISERROR(TER_kantoor_gas_kWh/1000),0,TER_kantoor_gas_kWh/1000)*0.902</f>
        <v>6293.0532949878007</v>
      </c>
      <c r="E6" s="33">
        <f>$C$26*'E Balans VL '!I12/100/3.6*1000000</f>
        <v>4.3169259650684542E-18</v>
      </c>
      <c r="F6" s="33">
        <f>$C$26*('E Balans VL '!L12+'E Balans VL '!N12)/100/3.6*1000000</f>
        <v>1025.0487581766281</v>
      </c>
      <c r="G6" s="34"/>
      <c r="H6" s="33"/>
      <c r="I6" s="33"/>
      <c r="J6" s="33">
        <f>$C$26*('E Balans VL '!D12+'E Balans VL '!E12)/100/3.6*1000000</f>
        <v>0</v>
      </c>
      <c r="K6" s="33"/>
      <c r="L6" s="33"/>
      <c r="M6" s="33"/>
      <c r="N6" s="33">
        <f>$C$26*'E Balans VL '!Y12/100/3.6*1000000</f>
        <v>9.5298449199847752</v>
      </c>
      <c r="O6" s="33"/>
      <c r="P6" s="33"/>
      <c r="R6" s="32"/>
    </row>
    <row r="7" spans="1:18">
      <c r="A7" s="32" t="s">
        <v>52</v>
      </c>
      <c r="B7" s="37">
        <f t="shared" ref="B7:B12" si="0">B27</f>
        <v>2405.3602721000002</v>
      </c>
      <c r="C7" s="33"/>
      <c r="D7" s="37">
        <f>IF(ISERROR(TER_horeca_gas_kWh/1000),0,TER_horeca_gas_kWh/1000)*0.902</f>
        <v>3492.8118556650002</v>
      </c>
      <c r="E7" s="33">
        <f>$C$27*'E Balans VL '!I9/100/3.6*1000000</f>
        <v>30.721345121769662</v>
      </c>
      <c r="F7" s="33">
        <f>$C$27*('E Balans VL '!L9+'E Balans VL '!N9)/100/3.6*1000000</f>
        <v>271.67463503975461</v>
      </c>
      <c r="G7" s="34"/>
      <c r="H7" s="33"/>
      <c r="I7" s="33"/>
      <c r="J7" s="33">
        <f>$C$27*('E Balans VL '!D9+'E Balans VL '!E9)/100/3.6*1000000</f>
        <v>0</v>
      </c>
      <c r="K7" s="33"/>
      <c r="L7" s="33"/>
      <c r="M7" s="33"/>
      <c r="N7" s="33">
        <f>$C$27*'E Balans VL '!Y9/100/3.6*1000000</f>
        <v>0.57320756302196418</v>
      </c>
      <c r="O7" s="33"/>
      <c r="P7" s="33"/>
      <c r="R7" s="32"/>
    </row>
    <row r="8" spans="1:18">
      <c r="A8" s="6" t="s">
        <v>51</v>
      </c>
      <c r="B8" s="37">
        <f t="shared" si="0"/>
        <v>13017.308532999999</v>
      </c>
      <c r="C8" s="33"/>
      <c r="D8" s="37">
        <f>IF(ISERROR(TER_handel_gas_kWh/1000),0,TER_handel_gas_kWh/1000)*0.902</f>
        <v>7736.6620042668001</v>
      </c>
      <c r="E8" s="33">
        <f>$C$28*'E Balans VL '!I13/100/3.6*1000000</f>
        <v>425.12416811291945</v>
      </c>
      <c r="F8" s="33">
        <f>$C$28*('E Balans VL '!L13+'E Balans VL '!N13)/100/3.6*1000000</f>
        <v>2253.8412047651441</v>
      </c>
      <c r="G8" s="34"/>
      <c r="H8" s="33"/>
      <c r="I8" s="33"/>
      <c r="J8" s="33">
        <f>$C$28*('E Balans VL '!D13+'E Balans VL '!E13)/100/3.6*1000000</f>
        <v>0</v>
      </c>
      <c r="K8" s="33"/>
      <c r="L8" s="33"/>
      <c r="M8" s="33"/>
      <c r="N8" s="33">
        <f>$C$28*'E Balans VL '!Y13/100/3.6*1000000</f>
        <v>15.321011045612963</v>
      </c>
      <c r="O8" s="33"/>
      <c r="P8" s="33"/>
      <c r="R8" s="32"/>
    </row>
    <row r="9" spans="1:18">
      <c r="A9" s="32" t="s">
        <v>50</v>
      </c>
      <c r="B9" s="37">
        <f t="shared" si="0"/>
        <v>1482.9134658999999</v>
      </c>
      <c r="C9" s="33"/>
      <c r="D9" s="37">
        <f>IF(ISERROR(TER_gezond_gas_kWh/1000),0,TER_gezond_gas_kWh/1000)*0.902</f>
        <v>655.15174822020003</v>
      </c>
      <c r="E9" s="33">
        <f>$C$29*'E Balans VL '!I10/100/3.6*1000000</f>
        <v>8.280961403025372E-2</v>
      </c>
      <c r="F9" s="33">
        <f>$C$29*('E Balans VL '!L10+'E Balans VL '!N10)/100/3.6*1000000</f>
        <v>196.48051758479684</v>
      </c>
      <c r="G9" s="34"/>
      <c r="H9" s="33"/>
      <c r="I9" s="33"/>
      <c r="J9" s="33">
        <f>$C$29*('E Balans VL '!D10+'E Balans VL '!E10)/100/3.6*1000000</f>
        <v>0</v>
      </c>
      <c r="K9" s="33"/>
      <c r="L9" s="33"/>
      <c r="M9" s="33"/>
      <c r="N9" s="33">
        <f>$C$29*'E Balans VL '!Y10/100/3.6*1000000</f>
        <v>15.717886025999702</v>
      </c>
      <c r="O9" s="33"/>
      <c r="P9" s="33"/>
      <c r="R9" s="32"/>
    </row>
    <row r="10" spans="1:18">
      <c r="A10" s="32" t="s">
        <v>49</v>
      </c>
      <c r="B10" s="37">
        <f t="shared" si="0"/>
        <v>2788.8390326999997</v>
      </c>
      <c r="C10" s="33"/>
      <c r="D10" s="37">
        <f>IF(ISERROR(TER_ander_gas_kWh/1000),0,TER_ander_gas_kWh/1000)*0.902</f>
        <v>5869.1355564380001</v>
      </c>
      <c r="E10" s="33">
        <f>$C$30*'E Balans VL '!I14/100/3.6*1000000</f>
        <v>36.013464232163827</v>
      </c>
      <c r="F10" s="33">
        <f>$C$30*('E Balans VL '!L14+'E Balans VL '!N14)/100/3.6*1000000</f>
        <v>1840.8326814423301</v>
      </c>
      <c r="G10" s="34"/>
      <c r="H10" s="33"/>
      <c r="I10" s="33"/>
      <c r="J10" s="33">
        <f>$C$30*('E Balans VL '!D14+'E Balans VL '!E14)/100/3.6*1000000</f>
        <v>3.3784593830321508E-2</v>
      </c>
      <c r="K10" s="33"/>
      <c r="L10" s="33"/>
      <c r="M10" s="33"/>
      <c r="N10" s="33">
        <f>$C$30*'E Balans VL '!Y14/100/3.6*1000000</f>
        <v>1176.0420651404922</v>
      </c>
      <c r="O10" s="33"/>
      <c r="P10" s="33"/>
      <c r="R10" s="32"/>
    </row>
    <row r="11" spans="1:18">
      <c r="A11" s="32" t="s">
        <v>54</v>
      </c>
      <c r="B11" s="37">
        <f t="shared" si="0"/>
        <v>187.83815239</v>
      </c>
      <c r="C11" s="33"/>
      <c r="D11" s="37">
        <f>IF(ISERROR(TER_onderwijs_gas_kWh/1000),0,TER_onderwijs_gas_kWh/1000)*0.902</f>
        <v>328.19132157262004</v>
      </c>
      <c r="E11" s="33">
        <f>$C$31*'E Balans VL '!I11/100/3.6*1000000</f>
        <v>2.5278355500187546</v>
      </c>
      <c r="F11" s="33">
        <f>$C$31*('E Balans VL '!L11+'E Balans VL '!N11)/100/3.6*1000000</f>
        <v>29.354834472789385</v>
      </c>
      <c r="G11" s="34"/>
      <c r="H11" s="33"/>
      <c r="I11" s="33"/>
      <c r="J11" s="33">
        <f>$C$31*('E Balans VL '!D11+'E Balans VL '!E11)/100/3.6*1000000</f>
        <v>0</v>
      </c>
      <c r="K11" s="33"/>
      <c r="L11" s="33"/>
      <c r="M11" s="33"/>
      <c r="N11" s="33">
        <f>$C$31*'E Balans VL '!Y11/100/3.6*1000000</f>
        <v>0.43372719464431636</v>
      </c>
      <c r="O11" s="33"/>
      <c r="P11" s="33"/>
      <c r="R11" s="32"/>
    </row>
    <row r="12" spans="1:18">
      <c r="A12" s="32" t="s">
        <v>249</v>
      </c>
      <c r="B12" s="37">
        <f t="shared" si="0"/>
        <v>1500.9333084</v>
      </c>
      <c r="C12" s="33"/>
      <c r="D12" s="37">
        <f>IF(ISERROR(TER_rest_gas_kWh/1000),0,TER_rest_gas_kWh/1000)*0.902</f>
        <v>5359.6266869199999</v>
      </c>
      <c r="E12" s="33">
        <f>$C$32*'E Balans VL '!I8/100/3.6*1000000</f>
        <v>20.303368983216824</v>
      </c>
      <c r="F12" s="33">
        <f>$C$32*('E Balans VL '!L8+'E Balans VL '!N8)/100/3.6*1000000</f>
        <v>358.86333374529858</v>
      </c>
      <c r="G12" s="34"/>
      <c r="H12" s="33"/>
      <c r="I12" s="33"/>
      <c r="J12" s="33">
        <f>$C$32*('E Balans VL '!D8+'E Balans VL '!E8)/100/3.6*1000000</f>
        <v>3.2859958232592935E-3</v>
      </c>
      <c r="K12" s="33"/>
      <c r="L12" s="33"/>
      <c r="M12" s="33"/>
      <c r="N12" s="33">
        <f>$C$32*'E Balans VL '!Y8/100/3.6*1000000</f>
        <v>116.8984598679294</v>
      </c>
      <c r="O12" s="33"/>
      <c r="P12" s="33"/>
      <c r="R12" s="32"/>
    </row>
    <row r="13" spans="1:18">
      <c r="A13" s="16" t="s">
        <v>477</v>
      </c>
      <c r="B13" s="242">
        <f ca="1">'lokale energieproductie'!N41+'lokale energieproductie'!N34</f>
        <v>135</v>
      </c>
      <c r="C13" s="242">
        <f ca="1">'lokale energieproductie'!O41+'lokale energieproductie'!O34</f>
        <v>192.85714285714286</v>
      </c>
      <c r="D13" s="300">
        <f ca="1">('lokale energieproductie'!P34+'lokale energieproductie'!P41)*(-1)</f>
        <v>-385.71428571428572</v>
      </c>
      <c r="E13" s="243"/>
      <c r="F13" s="300">
        <f ca="1">('lokale energieproductie'!S34+'lokale energieproductie'!S41)*(-1)</f>
        <v>0</v>
      </c>
      <c r="G13" s="244"/>
      <c r="H13" s="243"/>
      <c r="I13" s="243"/>
      <c r="J13" s="243"/>
      <c r="K13" s="243"/>
      <c r="L13" s="300">
        <f ca="1">('lokale energieproductie'!U34+'lokale energieproductie'!T34+'lokale energieproductie'!U41+'lokale energieproductie'!T41)*(-1)</f>
        <v>0</v>
      </c>
      <c r="M13" s="243"/>
      <c r="N13" s="300">
        <f ca="1">('lokale energieproductie'!Q34+'lokale energieproductie'!R34+'lokale energieproductie'!V34+'lokale energieproductie'!Q41+'lokale energieproductie'!R41+'lokale energieproductie'!V41)*(-1)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29100.838465689994</v>
      </c>
      <c r="C16" s="21">
        <f t="shared" ca="1" si="1"/>
        <v>192.85714285714286</v>
      </c>
      <c r="D16" s="21">
        <f t="shared" ca="1" si="1"/>
        <v>29348.918182356134</v>
      </c>
      <c r="E16" s="21">
        <f t="shared" si="1"/>
        <v>514.77299161411884</v>
      </c>
      <c r="F16" s="21">
        <f t="shared" ca="1" si="1"/>
        <v>5976.095965226742</v>
      </c>
      <c r="G16" s="21">
        <f t="shared" si="1"/>
        <v>0</v>
      </c>
      <c r="H16" s="21">
        <f t="shared" si="1"/>
        <v>0</v>
      </c>
      <c r="I16" s="21">
        <f t="shared" si="1"/>
        <v>0</v>
      </c>
      <c r="J16" s="21">
        <f t="shared" si="1"/>
        <v>3.7070589653580802E-2</v>
      </c>
      <c r="K16" s="21">
        <f t="shared" si="1"/>
        <v>0</v>
      </c>
      <c r="L16" s="21">
        <f t="shared" ca="1" si="1"/>
        <v>0</v>
      </c>
      <c r="M16" s="21">
        <f t="shared" si="1"/>
        <v>0</v>
      </c>
      <c r="N16" s="21">
        <f t="shared" ca="1" si="1"/>
        <v>1334.5162017576854</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0.18976218107266546</v>
      </c>
      <c r="C18" s="25">
        <f ca="1">'EF ele_warmte'!B22</f>
        <v>0.23618038167738944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5522.2385782926531</v>
      </c>
      <c r="C20" s="23">
        <f t="shared" ref="C20:P20" ca="1" si="2">C16*C18</f>
        <v>45.549073609210822</v>
      </c>
      <c r="D20" s="23">
        <f t="shared" ca="1" si="2"/>
        <v>5928.4814728359397</v>
      </c>
      <c r="E20" s="23">
        <f t="shared" si="2"/>
        <v>116.85346909640498</v>
      </c>
      <c r="F20" s="23">
        <f t="shared" ca="1" si="2"/>
        <v>1595.6176227155402</v>
      </c>
      <c r="G20" s="23">
        <f t="shared" si="2"/>
        <v>0</v>
      </c>
      <c r="H20" s="23">
        <f t="shared" si="2"/>
        <v>0</v>
      </c>
      <c r="I20" s="23">
        <f t="shared" si="2"/>
        <v>0</v>
      </c>
      <c r="J20" s="23">
        <f t="shared" si="2"/>
        <v>1.3122988737367603E-2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7582.6457012000001</v>
      </c>
      <c r="C26" s="39">
        <f>IF(ISERROR(B26*3.6/1000000/'E Balans VL '!Z12*100),0,B26*3.6/1000000/'E Balans VL '!Z12*100)</f>
        <v>0.20345156937188322</v>
      </c>
      <c r="D26" s="232" t="s">
        <v>621</v>
      </c>
      <c r="F26" s="6"/>
    </row>
    <row r="27" spans="1:18">
      <c r="A27" s="227" t="s">
        <v>52</v>
      </c>
      <c r="B27" s="33">
        <f>IF(ISERROR(TER_horeca_ele_kWh/1000),0,TER_horeca_ele_kWh/1000)</f>
        <v>2405.3602721000002</v>
      </c>
      <c r="C27" s="39">
        <f>IF(ISERROR(B27*3.6/1000000/'E Balans VL '!Z9*100),0,B27*3.6/1000000/'E Balans VL '!Z9*100)</f>
        <v>0.1910890717304419</v>
      </c>
      <c r="D27" s="232" t="s">
        <v>621</v>
      </c>
      <c r="F27" s="6"/>
    </row>
    <row r="28" spans="1:18">
      <c r="A28" s="167" t="s">
        <v>51</v>
      </c>
      <c r="B28" s="33">
        <f>IF(ISERROR(TER_handel_ele_kWh/1000),0,TER_handel_ele_kWh/1000)</f>
        <v>13017.308532999999</v>
      </c>
      <c r="C28" s="39">
        <f>IF(ISERROR(B28*3.6/1000000/'E Balans VL '!Z13*100),0,B28*3.6/1000000/'E Balans VL '!Z13*100)</f>
        <v>0.38075473517751657</v>
      </c>
      <c r="D28" s="232" t="s">
        <v>621</v>
      </c>
      <c r="F28" s="6"/>
    </row>
    <row r="29" spans="1:18">
      <c r="A29" s="227" t="s">
        <v>50</v>
      </c>
      <c r="B29" s="33">
        <f>IF(ISERROR(TER_gezond_ele_kWh/1000),0,TER_gezond_ele_kWh/1000)</f>
        <v>1482.9134658999999</v>
      </c>
      <c r="C29" s="39">
        <f>IF(ISERROR(B29*3.6/1000000/'E Balans VL '!Z10*100),0,B29*3.6/1000000/'E Balans VL '!Z10*100)</f>
        <v>0.15739036492995356</v>
      </c>
      <c r="D29" s="232" t="s">
        <v>621</v>
      </c>
      <c r="F29" s="6"/>
    </row>
    <row r="30" spans="1:18">
      <c r="A30" s="227" t="s">
        <v>49</v>
      </c>
      <c r="B30" s="33">
        <f>IF(ISERROR(TER_ander_ele_kWh/1000),0,TER_ander_ele_kWh/1000)</f>
        <v>2788.8390326999997</v>
      </c>
      <c r="C30" s="39">
        <f>IF(ISERROR(B30*3.6/1000000/'E Balans VL '!Z14*100),0,B30*3.6/1000000/'E Balans VL '!Z14*100)</f>
        <v>0.12971900361471569</v>
      </c>
      <c r="D30" s="232" t="s">
        <v>621</v>
      </c>
      <c r="F30" s="6"/>
    </row>
    <row r="31" spans="1:18">
      <c r="A31" s="227" t="s">
        <v>54</v>
      </c>
      <c r="B31" s="33">
        <f>IF(ISERROR(TER_onderwijs_ele_kWh/1000),0,TER_onderwijs_ele_kWh/1000)</f>
        <v>187.83815239</v>
      </c>
      <c r="C31" s="39">
        <f>IF(ISERROR(B31*3.6/1000000/'E Balans VL '!Z11*100),0,B31*3.6/1000000/'E Balans VL '!Z11*100)</f>
        <v>4.7011996464040445E-2</v>
      </c>
      <c r="D31" s="232" t="s">
        <v>621</v>
      </c>
    </row>
    <row r="32" spans="1:18">
      <c r="A32" s="227" t="s">
        <v>249</v>
      </c>
      <c r="B32" s="33">
        <f>IF(ISERROR(TER_rest_ele_kWh/1000),0,TER_rest_ele_kWh/1000)</f>
        <v>1500.9333084</v>
      </c>
      <c r="C32" s="39">
        <f>IF(ISERROR(B32*3.6/1000000/'E Balans VL '!Z8*100),0,B32*3.6/1000000/'E Balans VL '!Z8*100)</f>
        <v>1.2616878160978515E-2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7629.7889475699994</v>
      </c>
      <c r="C5" s="17">
        <f>IF(ISERROR('Eigen informatie GS &amp; warmtenet'!B59),0,'Eigen informatie GS &amp; warmtenet'!B59)</f>
        <v>0</v>
      </c>
      <c r="D5" s="30">
        <f>SUM(D6:D15)</f>
        <v>27324.668579015502</v>
      </c>
      <c r="E5" s="17">
        <f>SUM(E6:E15)</f>
        <v>998.43610370069109</v>
      </c>
      <c r="F5" s="17">
        <f>SUM(F6:F15)</f>
        <v>3897.9558337905582</v>
      </c>
      <c r="G5" s="18"/>
      <c r="H5" s="17"/>
      <c r="I5" s="17"/>
      <c r="J5" s="17">
        <f>SUM(J6:J15)</f>
        <v>20.831175370847774</v>
      </c>
      <c r="K5" s="17"/>
      <c r="L5" s="17"/>
      <c r="M5" s="17"/>
      <c r="N5" s="17">
        <f>SUM(N6:N15)</f>
        <v>1247.4329051387886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512.71927386000004</v>
      </c>
      <c r="C8" s="33"/>
      <c r="D8" s="37">
        <f>IF( ISERROR(IND_metaal_Gas_kWH/1000),0,IND_metaal_Gas_kWH/1000)*0.902</f>
        <v>102.30173587524</v>
      </c>
      <c r="E8" s="33">
        <f>C30*'E Balans VL '!I18/100/3.6*1000000</f>
        <v>18.449190554430906</v>
      </c>
      <c r="F8" s="33">
        <f>C30*'E Balans VL '!L18/100/3.6*1000000+C30*'E Balans VL '!N18/100/3.6*1000000</f>
        <v>223.88788632400855</v>
      </c>
      <c r="G8" s="34"/>
      <c r="H8" s="33"/>
      <c r="I8" s="33"/>
      <c r="J8" s="40">
        <f>C30*'E Balans VL '!D18/100/3.6*1000000+C30*'E Balans VL '!E18/100/3.6*1000000</f>
        <v>0</v>
      </c>
      <c r="K8" s="33"/>
      <c r="L8" s="33"/>
      <c r="M8" s="33"/>
      <c r="N8" s="33">
        <f>C30*'E Balans VL '!Y18/100/3.6*1000000</f>
        <v>25.69714157619714</v>
      </c>
      <c r="O8" s="33"/>
      <c r="P8" s="33"/>
      <c r="R8" s="32"/>
    </row>
    <row r="9" spans="1:18">
      <c r="A9" s="6" t="s">
        <v>32</v>
      </c>
      <c r="B9" s="37">
        <f t="shared" si="0"/>
        <v>3314.7923826000001</v>
      </c>
      <c r="C9" s="33"/>
      <c r="D9" s="37">
        <f>IF( ISERROR(IND_andere_gas_kWh/1000),0,IND_andere_gas_kWh/1000)*0.902</f>
        <v>1756.2415199758</v>
      </c>
      <c r="E9" s="33">
        <f>C31*'E Balans VL '!I19/100/3.6*1000000</f>
        <v>845.86001676121191</v>
      </c>
      <c r="F9" s="33">
        <f>C31*'E Balans VL '!L19/100/3.6*1000000+C31*'E Balans VL '!N19/100/3.6*1000000</f>
        <v>2853.7870919370243</v>
      </c>
      <c r="G9" s="34"/>
      <c r="H9" s="33"/>
      <c r="I9" s="33"/>
      <c r="J9" s="40">
        <f>C31*'E Balans VL '!D19/100/3.6*1000000+C31*'E Balans VL '!E19/100/3.6*1000000</f>
        <v>0</v>
      </c>
      <c r="K9" s="33"/>
      <c r="L9" s="33"/>
      <c r="M9" s="33"/>
      <c r="N9" s="33">
        <f>C31*'E Balans VL '!Y19/100/3.6*1000000</f>
        <v>261.49833022708481</v>
      </c>
      <c r="O9" s="33"/>
      <c r="P9" s="33"/>
      <c r="R9" s="32"/>
    </row>
    <row r="10" spans="1:18">
      <c r="A10" s="6" t="s">
        <v>40</v>
      </c>
      <c r="B10" s="37">
        <f t="shared" si="0"/>
        <v>2258.7287861</v>
      </c>
      <c r="C10" s="33"/>
      <c r="D10" s="37">
        <f>IF( ISERROR(IND_voed_gas_kWh/1000),0,IND_voed_gas_kWh/1000)*0.902</f>
        <v>4432.8984223150001</v>
      </c>
      <c r="E10" s="33">
        <f>C32*'E Balans VL '!I20/100/3.6*1000000</f>
        <v>57.419987231447081</v>
      </c>
      <c r="F10" s="33">
        <f>C32*'E Balans VL '!L20/100/3.6*1000000+C32*'E Balans VL '!N20/100/3.6*1000000</f>
        <v>511.1164178512571</v>
      </c>
      <c r="G10" s="34"/>
      <c r="H10" s="33"/>
      <c r="I10" s="33"/>
      <c r="J10" s="40">
        <f>C32*'E Balans VL '!D20/100/3.6*1000000+C32*'E Balans VL '!E20/100/3.6*1000000</f>
        <v>0</v>
      </c>
      <c r="K10" s="33"/>
      <c r="L10" s="33"/>
      <c r="M10" s="33"/>
      <c r="N10" s="33">
        <f>C32*'E Balans VL '!Y20/100/3.6*1000000</f>
        <v>847.08452003946036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141.36330511</v>
      </c>
      <c r="C13" s="33"/>
      <c r="D13" s="37">
        <f>IF( ISERROR(IND_papier_gas_kWh/1000),0,IND_papier_gas_kWh/1000)*0.902</f>
        <v>165.67990862346002</v>
      </c>
      <c r="E13" s="33">
        <f>C35*'E Balans VL '!I23/100/3.6*1000000</f>
        <v>0.606266090517389</v>
      </c>
      <c r="F13" s="33">
        <f>C35*'E Balans VL '!L23/100/3.6*1000000+C35*'E Balans VL '!N23/100/3.6*1000000</f>
        <v>3.5528986211816416</v>
      </c>
      <c r="G13" s="34"/>
      <c r="H13" s="33"/>
      <c r="I13" s="33"/>
      <c r="J13" s="40">
        <f>C35*'E Balans VL '!D23/100/3.6*1000000+C35*'E Balans VL '!E23/100/3.6*1000000</f>
        <v>9.4634979312805676</v>
      </c>
      <c r="K13" s="33"/>
      <c r="L13" s="33"/>
      <c r="M13" s="33"/>
      <c r="N13" s="33">
        <f>C35*'E Balans VL '!Y23/100/3.6*1000000</f>
        <v>34.473371680543309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1402.1851998999998</v>
      </c>
      <c r="C15" s="33"/>
      <c r="D15" s="37">
        <f>IF( ISERROR(IND_rest_gas_kWh/1000),0,IND_rest_gas_kWh/1000)*0.902</f>
        <v>20867.546992226002</v>
      </c>
      <c r="E15" s="33">
        <f>C37*'E Balans VL '!I15/100/3.6*1000000</f>
        <v>76.100643063083965</v>
      </c>
      <c r="F15" s="33">
        <f>C37*'E Balans VL '!L15/100/3.6*1000000+C37*'E Balans VL '!N15/100/3.6*1000000</f>
        <v>305.6115390570867</v>
      </c>
      <c r="G15" s="34"/>
      <c r="H15" s="33"/>
      <c r="I15" s="33"/>
      <c r="J15" s="40">
        <f>C37*'E Balans VL '!D15/100/3.6*1000000+C37*'E Balans VL '!E15/100/3.6*1000000</f>
        <v>11.367677439567208</v>
      </c>
      <c r="K15" s="33"/>
      <c r="L15" s="33"/>
      <c r="M15" s="33"/>
      <c r="N15" s="33">
        <f>C37*'E Balans VL '!Y15/100/3.6*1000000</f>
        <v>78.679541615503041</v>
      </c>
      <c r="O15" s="33"/>
      <c r="P15" s="33"/>
      <c r="R15" s="32"/>
    </row>
    <row r="16" spans="1:18">
      <c r="A16" s="16" t="s">
        <v>477</v>
      </c>
      <c r="B16" s="242">
        <f>'lokale energieproductie'!N40+'lokale energieproductie'!N33</f>
        <v>0</v>
      </c>
      <c r="C16" s="242">
        <f>'lokale energieproductie'!O40+'lokale energieproductie'!O33</f>
        <v>0</v>
      </c>
      <c r="D16" s="300">
        <f>('lokale energieproductie'!P33+'lokale energieproductie'!P40)*(-1)</f>
        <v>0</v>
      </c>
      <c r="E16" s="243"/>
      <c r="F16" s="300">
        <f>('lokale energieproductie'!S33+'lokale energieproductie'!S40)*(-1)</f>
        <v>0</v>
      </c>
      <c r="G16" s="244"/>
      <c r="H16" s="243"/>
      <c r="I16" s="243"/>
      <c r="J16" s="243"/>
      <c r="K16" s="243"/>
      <c r="L16" s="300">
        <f>('lokale energieproductie'!T33+'lokale energieproductie'!U33+'lokale energieproductie'!T40+'lokale energieproductie'!U40)*(-1)</f>
        <v>0</v>
      </c>
      <c r="M16" s="243"/>
      <c r="N16" s="300">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7629.7889475699994</v>
      </c>
      <c r="C18" s="21">
        <f>C5+C16</f>
        <v>0</v>
      </c>
      <c r="D18" s="21">
        <f>MAX((D5+D16),0)</f>
        <v>27324.668579015502</v>
      </c>
      <c r="E18" s="21">
        <f>MAX((E5+E16),0)</f>
        <v>998.43610370069109</v>
      </c>
      <c r="F18" s="21">
        <f>MAX((F5+F16),0)</f>
        <v>3897.9558337905582</v>
      </c>
      <c r="G18" s="21"/>
      <c r="H18" s="21"/>
      <c r="I18" s="21"/>
      <c r="J18" s="21">
        <f>MAX((J5+J16),0)</f>
        <v>20.831175370847774</v>
      </c>
      <c r="K18" s="21"/>
      <c r="L18" s="21">
        <f>MAX((L5+L16),0)</f>
        <v>0</v>
      </c>
      <c r="M18" s="21"/>
      <c r="N18" s="21">
        <f>MAX((N5+N16),0)</f>
        <v>1247.4329051387886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0.18976218107266546</v>
      </c>
      <c r="C20" s="25">
        <f ca="1">'EF ele_warmte'!B22</f>
        <v>0.23618038167738944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1447.8453918149999</v>
      </c>
      <c r="C22" s="23">
        <f ca="1">C18*C20</f>
        <v>0</v>
      </c>
      <c r="D22" s="23">
        <f>D18*D20</f>
        <v>5519.5830529611321</v>
      </c>
      <c r="E22" s="23">
        <f>E18*E20</f>
        <v>226.6449955400569</v>
      </c>
      <c r="F22" s="23">
        <f>F18*F20</f>
        <v>1040.7542076220791</v>
      </c>
      <c r="G22" s="23"/>
      <c r="H22" s="23"/>
      <c r="I22" s="23"/>
      <c r="J22" s="23">
        <f>J18*J20</f>
        <v>7.3742360812801113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512.71927386000004</v>
      </c>
      <c r="C30" s="39">
        <f>IF(ISERROR(B30*3.6/1000000/'E Balans VL '!Z18*100),0,B30*3.6/1000000/'E Balans VL '!Z18*100)</f>
        <v>0.10863422171941341</v>
      </c>
      <c r="D30" s="232" t="s">
        <v>621</v>
      </c>
    </row>
    <row r="31" spans="1:18">
      <c r="A31" s="6" t="s">
        <v>32</v>
      </c>
      <c r="B31" s="37">
        <f>IF( ISERROR(IND_ander_ele_kWh/1000),0,IND_ander_ele_kWh/1000)</f>
        <v>3314.7923826000001</v>
      </c>
      <c r="C31" s="39">
        <f>IF(ISERROR(B31*3.6/1000000/'E Balans VL '!Z19*100),0,B31*3.6/1000000/'E Balans VL '!Z19*100)</f>
        <v>0.13952713816713092</v>
      </c>
      <c r="D31" s="232" t="s">
        <v>621</v>
      </c>
    </row>
    <row r="32" spans="1:18">
      <c r="A32" s="167" t="s">
        <v>40</v>
      </c>
      <c r="B32" s="37">
        <f>IF( ISERROR(IND_voed_ele_kWh/1000),0,IND_voed_ele_kWh/1000)</f>
        <v>2258.7287861</v>
      </c>
      <c r="C32" s="39">
        <f>IF(ISERROR(B32*3.6/1000000/'E Balans VL '!Z20*100),0,B32*3.6/1000000/'E Balans VL '!Z20*100)</f>
        <v>0.37734619947657966</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141.36330511</v>
      </c>
      <c r="C35" s="39">
        <f>IF(ISERROR(B35*3.6/1000000/'E Balans VL '!Z22*100),0,B35*3.6/1000000/'E Balans VL '!Z22*100)</f>
        <v>1.7918561292745327E-2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1402.1851998999998</v>
      </c>
      <c r="C37" s="39">
        <f>IF(ISERROR(B37*3.6/1000000/'E Balans VL '!Z15*100),0,B37*3.6/1000000/'E Balans VL '!Z15*100)</f>
        <v>1.1320384069787578E-2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10892.013533103</v>
      </c>
      <c r="C5" s="17">
        <f>'Eigen informatie GS &amp; warmtenet'!B60</f>
        <v>0</v>
      </c>
      <c r="D5" s="30">
        <f>IF(ISERROR(SUM(LB_lb_gas_kWh,LB_rest_gas_kWh)/1000),0,SUM(LB_lb_gas_kWh,LB_rest_gas_kWh)/1000)*0.902</f>
        <v>52851.768611852771</v>
      </c>
      <c r="E5" s="17">
        <f>B17*'E Balans VL '!I25/3.6*1000000/100</f>
        <v>215.78015530239088</v>
      </c>
      <c r="F5" s="17">
        <f>B17*('E Balans VL '!L25/3.6*1000000+'E Balans VL '!N25/3.6*1000000)/100</f>
        <v>39720.101352971345</v>
      </c>
      <c r="G5" s="18"/>
      <c r="H5" s="17"/>
      <c r="I5" s="17"/>
      <c r="J5" s="17">
        <f>('E Balans VL '!D25+'E Balans VL '!E25)/3.6*1000000*landbouw!B17/100</f>
        <v>2586.2028420582083</v>
      </c>
      <c r="K5" s="17"/>
      <c r="L5" s="17">
        <f>L6*(-1)</f>
        <v>0</v>
      </c>
      <c r="M5" s="17"/>
      <c r="N5" s="17">
        <f>N6*(-1)</f>
        <v>124.71428571428569</v>
      </c>
      <c r="O5" s="17"/>
      <c r="P5" s="17"/>
      <c r="R5" s="32"/>
    </row>
    <row r="6" spans="1:18">
      <c r="A6" s="16" t="s">
        <v>477</v>
      </c>
      <c r="B6" s="17" t="s">
        <v>204</v>
      </c>
      <c r="C6" s="17">
        <f>'lokale energieproductie'!O42+'lokale energieproductie'!O35</f>
        <v>9910.9285714285706</v>
      </c>
      <c r="D6" s="300">
        <f>('lokale energieproductie'!P35+'lokale energieproductie'!P42)*(-1)</f>
        <v>-19697.142857142859</v>
      </c>
      <c r="E6" s="243"/>
      <c r="F6" s="300">
        <f>('lokale energieproductie'!S35+'lokale energieproductie'!S42)*(-1)</f>
        <v>0</v>
      </c>
      <c r="G6" s="244"/>
      <c r="H6" s="243"/>
      <c r="I6" s="243"/>
      <c r="J6" s="243"/>
      <c r="K6" s="243"/>
      <c r="L6" s="300">
        <f>('lokale energieproductie'!T35+'lokale energieproductie'!U35+'lokale energieproductie'!T42+'lokale energieproductie'!U42)*(-1)</f>
        <v>0</v>
      </c>
      <c r="M6" s="243"/>
      <c r="N6" s="300">
        <f>('lokale energieproductie'!V35+'lokale energieproductie'!R35+'lokale energieproductie'!Q35+'lokale energieproductie'!Q42+'lokale energieproductie'!R42+'lokale energieproductie'!V42)*(-1)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10892.013533103</v>
      </c>
      <c r="C8" s="21">
        <f>C5+C6</f>
        <v>9910.9285714285706</v>
      </c>
      <c r="D8" s="21">
        <f>MAX((D5+D6),0)</f>
        <v>33154.625754709909</v>
      </c>
      <c r="E8" s="21">
        <f>MAX((E5+E6),0)</f>
        <v>215.78015530239088</v>
      </c>
      <c r="F8" s="21">
        <f>MAX((F5+F6),0)</f>
        <v>39720.101352971345</v>
      </c>
      <c r="G8" s="21"/>
      <c r="H8" s="21"/>
      <c r="I8" s="21"/>
      <c r="J8" s="21">
        <f>MAX((J5+J6),0)</f>
        <v>2586.2028420582083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0.18976218107266546</v>
      </c>
      <c r="C10" s="31">
        <f ca="1">'EF ele_warmte'!B22</f>
        <v>0.23618038167738944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2066.8922443146139</v>
      </c>
      <c r="C12" s="23">
        <f ca="1">C8*C10</f>
        <v>2340.7668927773439</v>
      </c>
      <c r="D12" s="23">
        <f>D8*D10</f>
        <v>6697.2344024514023</v>
      </c>
      <c r="E12" s="23">
        <f>E8*E10</f>
        <v>48.982095253642733</v>
      </c>
      <c r="F12" s="23">
        <f>F8*F10</f>
        <v>10605.26706124335</v>
      </c>
      <c r="G12" s="23"/>
      <c r="H12" s="23"/>
      <c r="I12" s="23"/>
      <c r="J12" s="23">
        <f>J8*J10</f>
        <v>915.5158060886057</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1.5358460552474216</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707.01313937529426</v>
      </c>
      <c r="C26" s="242">
        <f>B26*'GWP N2O_CH4'!B5</f>
        <v>14847.275926881179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212.8807560618109</v>
      </c>
      <c r="C27" s="242">
        <f>B27*'GWP N2O_CH4'!B5</f>
        <v>4470.495877298029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10.807138490987821</v>
      </c>
      <c r="C28" s="242">
        <f>B28*'GWP N2O_CH4'!B4</f>
        <v>3350.2129322062247</v>
      </c>
      <c r="D28" s="50"/>
    </row>
    <row r="29" spans="1:4">
      <c r="A29" s="41" t="s">
        <v>266</v>
      </c>
      <c r="B29" s="242">
        <f>B34*'ha_N2O bodem landbouw'!B4</f>
        <v>23.270608135221561</v>
      </c>
      <c r="C29" s="242">
        <f>B29*'GWP N2O_CH4'!B4</f>
        <v>7213.8885219186841</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5.2371513920562518E-3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2.3924978803027461E-4</v>
      </c>
      <c r="C5" s="427" t="s">
        <v>204</v>
      </c>
      <c r="D5" s="412">
        <f>SUM(D6:D11)</f>
        <v>3.4837061917288384E-4</v>
      </c>
      <c r="E5" s="412">
        <f>SUM(E6:E11)</f>
        <v>1.78650423912968E-3</v>
      </c>
      <c r="F5" s="425" t="s">
        <v>204</v>
      </c>
      <c r="G5" s="412">
        <f>SUM(G6:G11)</f>
        <v>0.86919145218418015</v>
      </c>
      <c r="H5" s="412">
        <f>SUM(H6:H11)</f>
        <v>0.12391987513646047</v>
      </c>
      <c r="I5" s="427" t="s">
        <v>204</v>
      </c>
      <c r="J5" s="427" t="s">
        <v>204</v>
      </c>
      <c r="K5" s="427" t="s">
        <v>204</v>
      </c>
      <c r="L5" s="427" t="s">
        <v>204</v>
      </c>
      <c r="M5" s="412">
        <f>SUM(M6:M11)</f>
        <v>3.1058491849302646E-2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5.2613039173762744E-5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8.2903914935829033E-5</v>
      </c>
      <c r="E6" s="818">
        <f>vkm_GW_PW*SUMIFS(TableVerdeelsleutelVkm[LPG],TableVerdeelsleutelVkm[Voertuigtype],"Lichte voertuigen")*SUMIFS(TableECFTransport[EnergieConsumptieFactor (PJ per km)],TableECFTransport[Index],CONCATENATE($A6,"_LPG_LPG"))</f>
        <v>3.7843685263834389E-4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0.10217868672289207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2.8852248055770548E-2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4.0792570318265962E-3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2.0665830162594496E-6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7.1232770523343605E-2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1.4471543954396979E-6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2.2409918024040684E-3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2.984420604189277E-5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6.6618397394933981E-5</v>
      </c>
      <c r="E8" s="415">
        <f>vkm_NGW_PW*SUMIFS(TableVerdeelsleutelVkm[LPG],TableVerdeelsleutelVkm[Voertuigtype],"Lichte voertuigen")*SUMIFS(TableECFTransport[EnergieConsumptieFactor (PJ per km)],TableECFTransport[Index],CONCATENATE($A8,"_LPG_LPG"))</f>
        <v>2.9011589612765057E-4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7.3035305363390743E-2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2.2494691024640932E-2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2.9718704705127262E-3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3.728811245469353E-7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1.6525646452905329E-2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3.1517289290711796E-7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5.1989827242888628E-4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1.4422703184824109E-4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1.9884830684212081E-4</v>
      </c>
      <c r="E10" s="415">
        <f>vkm_SW_PW*SUMIFS(TableVerdeelsleutelVkm[LPG],TableVerdeelsleutelVkm[Voertuigtype],"Lichte voertuigen")*SUMIFS(TableECFTransport[EnergieConsumptieFactor (PJ per km)],TableECFTransport[Index],CONCATENATE($A10,"_LPG_LPG"))</f>
        <v>1.1179514903636855E-3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0.27364009199508305</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7.2563875249423551E-2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1.0783482947883881E-2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1.0126046825571609E-5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0.33257895112656533</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7.298479337082349E-6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1.0462991324246489E-2</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66.458274452854056</v>
      </c>
      <c r="C14" s="21"/>
      <c r="D14" s="21">
        <f t="shared" ref="D14:M14" si="0">((D5)*10^9/3600)+D12</f>
        <v>96.769616436912187</v>
      </c>
      <c r="E14" s="21">
        <f t="shared" si="0"/>
        <v>496.25117753602223</v>
      </c>
      <c r="F14" s="21"/>
      <c r="G14" s="21">
        <f t="shared" si="0"/>
        <v>241442.07005116114</v>
      </c>
      <c r="H14" s="21">
        <f t="shared" si="0"/>
        <v>34422.187537905687</v>
      </c>
      <c r="I14" s="21"/>
      <c r="J14" s="21"/>
      <c r="K14" s="21"/>
      <c r="L14" s="21"/>
      <c r="M14" s="21">
        <f t="shared" si="0"/>
        <v>8627.3588470285122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0.18976218107266546</v>
      </c>
      <c r="C16" s="56">
        <f ca="1">'EF ele_warmte'!B22</f>
        <v>0.23618038167738944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12.611267110499389</v>
      </c>
      <c r="C18" s="23"/>
      <c r="D18" s="23">
        <f t="shared" ref="D18:M18" si="1">D14*D16</f>
        <v>19.547462520256264</v>
      </c>
      <c r="E18" s="23">
        <f t="shared" si="1"/>
        <v>112.64901730067704</v>
      </c>
      <c r="F18" s="23"/>
      <c r="G18" s="23">
        <f t="shared" si="1"/>
        <v>64465.032703660028</v>
      </c>
      <c r="H18" s="23">
        <f t="shared" si="1"/>
        <v>8571.1246969385156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4.5084312045795742E-5</v>
      </c>
      <c r="C50" s="311">
        <f t="shared" ref="C50:P50" si="2">SUM(C51:C52)</f>
        <v>0</v>
      </c>
      <c r="D50" s="311">
        <f t="shared" si="2"/>
        <v>0</v>
      </c>
      <c r="E50" s="311">
        <f t="shared" si="2"/>
        <v>0</v>
      </c>
      <c r="F50" s="311">
        <f t="shared" si="2"/>
        <v>0</v>
      </c>
      <c r="G50" s="311">
        <f t="shared" si="2"/>
        <v>8.0386282872343829E-3</v>
      </c>
      <c r="H50" s="311">
        <f t="shared" si="2"/>
        <v>0</v>
      </c>
      <c r="I50" s="311">
        <f t="shared" si="2"/>
        <v>0</v>
      </c>
      <c r="J50" s="311">
        <f t="shared" si="2"/>
        <v>0</v>
      </c>
      <c r="K50" s="311">
        <f t="shared" si="2"/>
        <v>0</v>
      </c>
      <c r="L50" s="311">
        <f t="shared" si="2"/>
        <v>0</v>
      </c>
      <c r="M50" s="311">
        <f t="shared" si="2"/>
        <v>2.50934828385237E-4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4.5084312045795742E-5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8.0386282872343829E-3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2.50934828385237E-4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12.52342001272104</v>
      </c>
      <c r="C54" s="21">
        <f t="shared" ref="C54:P54" si="3">(C50)*10^9/3600</f>
        <v>0</v>
      </c>
      <c r="D54" s="21">
        <f t="shared" si="3"/>
        <v>0</v>
      </c>
      <c r="E54" s="21">
        <f t="shared" si="3"/>
        <v>0</v>
      </c>
      <c r="F54" s="21">
        <f t="shared" si="3"/>
        <v>0</v>
      </c>
      <c r="G54" s="21">
        <f t="shared" si="3"/>
        <v>2232.9523020095507</v>
      </c>
      <c r="H54" s="21">
        <f t="shared" si="3"/>
        <v>0</v>
      </c>
      <c r="I54" s="21">
        <f t="shared" si="3"/>
        <v>0</v>
      </c>
      <c r="J54" s="21">
        <f t="shared" si="3"/>
        <v>0</v>
      </c>
      <c r="K54" s="21">
        <f t="shared" si="3"/>
        <v>0</v>
      </c>
      <c r="L54" s="21">
        <f t="shared" si="3"/>
        <v>0</v>
      </c>
      <c r="M54" s="21">
        <f t="shared" si="3"/>
        <v>69.704118995899165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0.18976218107266546</v>
      </c>
      <c r="C56" s="56">
        <f ca="1">'EF ele_warmte'!B22</f>
        <v>0.23618038167738944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2.3764714961030124</v>
      </c>
      <c r="C58" s="23">
        <f t="shared" ref="C58:P58" ca="1" si="4">C54*C56</f>
        <v>0</v>
      </c>
      <c r="D58" s="23">
        <f t="shared" si="4"/>
        <v>0</v>
      </c>
      <c r="E58" s="23">
        <f t="shared" si="4"/>
        <v>0</v>
      </c>
      <c r="F58" s="23">
        <f t="shared" si="4"/>
        <v>0</v>
      </c>
      <c r="G58" s="23">
        <f t="shared" si="4"/>
        <v>596.19826463655011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7231.7903095915208</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6268.3675945760115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N32</f>
        <v>7072.65</v>
      </c>
      <c r="C8" s="534">
        <f>B51</f>
        <v>8269.4117647058829</v>
      </c>
      <c r="D8" s="961"/>
      <c r="E8" s="961">
        <f>E51</f>
        <v>0</v>
      </c>
      <c r="F8" s="962"/>
      <c r="G8" s="535"/>
      <c r="H8" s="961">
        <f>I51</f>
        <v>0</v>
      </c>
      <c r="I8" s="961">
        <f>G51+F51</f>
        <v>0</v>
      </c>
      <c r="J8" s="961">
        <f>H51+D51+C51</f>
        <v>51.35294117647058</v>
      </c>
      <c r="K8" s="961"/>
      <c r="L8" s="961"/>
      <c r="M8" s="961"/>
      <c r="N8" s="536"/>
      <c r="O8" s="537">
        <f>C8*$C$12+D8*$D$12+E8*$E$12+F8*$F$12+G8*$G$12+H8*$H$12+I8*$I$12+J8*$J$12</f>
        <v>1670.4211764705885</v>
      </c>
      <c r="P8" s="1205"/>
      <c r="Q8" s="1206"/>
      <c r="S8" s="925"/>
      <c r="T8" s="1180"/>
      <c r="U8" s="1180"/>
    </row>
    <row r="9" spans="1:21" s="523" customFormat="1" ht="17.45" customHeight="1" thickBot="1">
      <c r="A9" s="538" t="s">
        <v>237</v>
      </c>
      <c r="B9" s="539">
        <f>N39+'Eigen informatie GS &amp; warmtenet'!B12</f>
        <v>0</v>
      </c>
      <c r="C9" s="540">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20572.80790416753</v>
      </c>
      <c r="C10" s="547">
        <f t="shared" ref="C10:L10" si="0">SUM(C8:C9)</f>
        <v>8269.4117647058829</v>
      </c>
      <c r="D10" s="547">
        <f t="shared" si="0"/>
        <v>0</v>
      </c>
      <c r="E10" s="547">
        <f t="shared" si="0"/>
        <v>0</v>
      </c>
      <c r="F10" s="547">
        <f t="shared" si="0"/>
        <v>0</v>
      </c>
      <c r="G10" s="547">
        <f t="shared" si="0"/>
        <v>0</v>
      </c>
      <c r="H10" s="547">
        <f t="shared" si="0"/>
        <v>0</v>
      </c>
      <c r="I10" s="547">
        <f t="shared" si="0"/>
        <v>0</v>
      </c>
      <c r="J10" s="547">
        <f t="shared" si="0"/>
        <v>51.35294117647058</v>
      </c>
      <c r="K10" s="547">
        <f t="shared" si="0"/>
        <v>0</v>
      </c>
      <c r="L10" s="547">
        <f t="shared" si="0"/>
        <v>0</v>
      </c>
      <c r="M10" s="964"/>
      <c r="N10" s="964"/>
      <c r="O10" s="548">
        <f>SUM(O4:O9)</f>
        <v>1670.4211764705885</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O32</f>
        <v>10103.785714285716</v>
      </c>
      <c r="C17" s="559">
        <f>B52</f>
        <v>11813.445378151262</v>
      </c>
      <c r="D17" s="560"/>
      <c r="E17" s="560">
        <f>E52</f>
        <v>0</v>
      </c>
      <c r="F17" s="967"/>
      <c r="G17" s="561"/>
      <c r="H17" s="559">
        <f>I52</f>
        <v>0</v>
      </c>
      <c r="I17" s="560">
        <f>G52+F52</f>
        <v>0</v>
      </c>
      <c r="J17" s="560">
        <f>H52+D52+C52</f>
        <v>73.361344537815114</v>
      </c>
      <c r="K17" s="560"/>
      <c r="L17" s="560"/>
      <c r="M17" s="560"/>
      <c r="N17" s="968"/>
      <c r="O17" s="562">
        <f>C17*$C$22+E17*$E$22+H17*$H$22+I17*$I$22+J17*$J$22+D17*$D$22+F17*$F$22+G17*$G$22+K17*$K$22+L17*$L$22</f>
        <v>2386.3159663865549</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10103.785714285716</v>
      </c>
      <c r="C20" s="546">
        <f>SUM(C17:C19)</f>
        <v>11813.445378151262</v>
      </c>
      <c r="D20" s="546">
        <f t="shared" ref="D20:L20" si="1">SUM(D17:D19)</f>
        <v>0</v>
      </c>
      <c r="E20" s="546">
        <f t="shared" si="1"/>
        <v>0</v>
      </c>
      <c r="F20" s="546">
        <f t="shared" si="1"/>
        <v>0</v>
      </c>
      <c r="G20" s="546">
        <f t="shared" si="1"/>
        <v>0</v>
      </c>
      <c r="H20" s="546">
        <f t="shared" si="1"/>
        <v>0</v>
      </c>
      <c r="I20" s="546">
        <f t="shared" si="1"/>
        <v>0</v>
      </c>
      <c r="J20" s="546">
        <f t="shared" si="1"/>
        <v>73.361344537815114</v>
      </c>
      <c r="K20" s="546">
        <f t="shared" si="1"/>
        <v>0</v>
      </c>
      <c r="L20" s="546">
        <f t="shared" si="1"/>
        <v>0</v>
      </c>
      <c r="M20" s="546"/>
      <c r="N20" s="546"/>
      <c r="O20" s="565">
        <f>SUM(O17:O19)</f>
        <v>2386.3159663865549</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44034</v>
      </c>
      <c r="C28" s="724">
        <v>9080</v>
      </c>
      <c r="D28" s="617"/>
      <c r="E28" s="616"/>
      <c r="F28" s="616"/>
      <c r="G28" s="616" t="s">
        <v>887</v>
      </c>
      <c r="H28" s="616" t="s">
        <v>888</v>
      </c>
      <c r="I28" s="616"/>
      <c r="J28" s="723"/>
      <c r="K28" s="723"/>
      <c r="L28" s="616" t="s">
        <v>889</v>
      </c>
      <c r="M28" s="616">
        <v>1006</v>
      </c>
      <c r="N28" s="616">
        <v>4527</v>
      </c>
      <c r="O28" s="616">
        <v>6467.1428571428569</v>
      </c>
      <c r="P28" s="616">
        <v>12934.285714285716</v>
      </c>
      <c r="Q28" s="616">
        <v>0</v>
      </c>
      <c r="R28" s="616">
        <v>0</v>
      </c>
      <c r="S28" s="616">
        <v>0</v>
      </c>
      <c r="T28" s="616">
        <v>0</v>
      </c>
      <c r="U28" s="616">
        <v>0</v>
      </c>
      <c r="V28" s="616">
        <v>0</v>
      </c>
      <c r="W28" s="616">
        <v>0</v>
      </c>
      <c r="X28" s="616"/>
      <c r="Y28" s="616">
        <v>10</v>
      </c>
      <c r="Z28" s="616" t="s">
        <v>105</v>
      </c>
      <c r="AA28" s="618" t="s">
        <v>105</v>
      </c>
    </row>
    <row r="29" spans="1:27" s="570" customFormat="1" ht="63.75" hidden="1">
      <c r="A29" s="569"/>
      <c r="B29" s="724">
        <v>44034</v>
      </c>
      <c r="C29" s="724">
        <v>9080</v>
      </c>
      <c r="D29" s="617"/>
      <c r="E29" s="616"/>
      <c r="F29" s="616"/>
      <c r="G29" s="616" t="s">
        <v>887</v>
      </c>
      <c r="H29" s="616" t="s">
        <v>888</v>
      </c>
      <c r="I29" s="616"/>
      <c r="J29" s="723"/>
      <c r="K29" s="723"/>
      <c r="L29" s="616" t="s">
        <v>889</v>
      </c>
      <c r="M29" s="616">
        <v>30</v>
      </c>
      <c r="N29" s="616">
        <v>135</v>
      </c>
      <c r="O29" s="616">
        <v>192.85714285714286</v>
      </c>
      <c r="P29" s="616">
        <v>385.71428571428572</v>
      </c>
      <c r="Q29" s="616">
        <v>0</v>
      </c>
      <c r="R29" s="616">
        <v>0</v>
      </c>
      <c r="S29" s="616">
        <v>0</v>
      </c>
      <c r="T29" s="616">
        <v>0</v>
      </c>
      <c r="U29" s="616">
        <v>0</v>
      </c>
      <c r="V29" s="616">
        <v>0</v>
      </c>
      <c r="W29" s="616">
        <v>0</v>
      </c>
      <c r="X29" s="616"/>
      <c r="Y29" s="616">
        <v>1600</v>
      </c>
      <c r="Z29" s="616" t="s">
        <v>49</v>
      </c>
      <c r="AA29" s="618" t="s">
        <v>149</v>
      </c>
    </row>
    <row r="30" spans="1:27" s="570" customFormat="1" ht="25.5" hidden="1">
      <c r="A30" s="569"/>
      <c r="B30" s="724">
        <v>44034</v>
      </c>
      <c r="C30" s="724">
        <v>9080</v>
      </c>
      <c r="D30" s="617"/>
      <c r="E30" s="616"/>
      <c r="F30" s="616"/>
      <c r="G30" s="616" t="s">
        <v>887</v>
      </c>
      <c r="H30" s="616" t="s">
        <v>888</v>
      </c>
      <c r="I30" s="616"/>
      <c r="J30" s="723"/>
      <c r="K30" s="723"/>
      <c r="L30" s="616" t="s">
        <v>889</v>
      </c>
      <c r="M30" s="616">
        <v>526</v>
      </c>
      <c r="N30" s="616">
        <v>2367</v>
      </c>
      <c r="O30" s="616">
        <v>3381.4285714285716</v>
      </c>
      <c r="P30" s="616">
        <v>6762.8571428571431</v>
      </c>
      <c r="Q30" s="616">
        <v>0</v>
      </c>
      <c r="R30" s="616">
        <v>0</v>
      </c>
      <c r="S30" s="616">
        <v>0</v>
      </c>
      <c r="T30" s="616">
        <v>0</v>
      </c>
      <c r="U30" s="616">
        <v>0</v>
      </c>
      <c r="V30" s="616">
        <v>0</v>
      </c>
      <c r="W30" s="616">
        <v>0</v>
      </c>
      <c r="X30" s="616"/>
      <c r="Y30" s="616">
        <v>10</v>
      </c>
      <c r="Z30" s="616" t="s">
        <v>105</v>
      </c>
      <c r="AA30" s="618" t="s">
        <v>105</v>
      </c>
    </row>
    <row r="31" spans="1:27" s="570" customFormat="1" ht="25.5" hidden="1">
      <c r="A31" s="569"/>
      <c r="B31" s="724">
        <v>44034</v>
      </c>
      <c r="C31" s="724">
        <v>9080</v>
      </c>
      <c r="D31" s="617"/>
      <c r="E31" s="616"/>
      <c r="F31" s="616"/>
      <c r="G31" s="616" t="s">
        <v>887</v>
      </c>
      <c r="H31" s="616" t="s">
        <v>888</v>
      </c>
      <c r="I31" s="616"/>
      <c r="J31" s="723"/>
      <c r="K31" s="723"/>
      <c r="L31" s="616" t="s">
        <v>889</v>
      </c>
      <c r="M31" s="616">
        <v>9.6999999999999993</v>
      </c>
      <c r="N31" s="616">
        <v>43.649999999999991</v>
      </c>
      <c r="O31" s="616">
        <v>62.357142857142847</v>
      </c>
      <c r="P31" s="616">
        <v>0</v>
      </c>
      <c r="Q31" s="616">
        <v>124.71428571428569</v>
      </c>
      <c r="R31" s="616">
        <v>0</v>
      </c>
      <c r="S31" s="616">
        <v>0</v>
      </c>
      <c r="T31" s="616">
        <v>0</v>
      </c>
      <c r="U31" s="616">
        <v>0</v>
      </c>
      <c r="V31" s="616">
        <v>0</v>
      </c>
      <c r="W31" s="616">
        <v>0</v>
      </c>
      <c r="X31" s="616"/>
      <c r="Y31" s="616">
        <v>10</v>
      </c>
      <c r="Z31" s="616" t="s">
        <v>105</v>
      </c>
      <c r="AA31" s="618" t="s">
        <v>105</v>
      </c>
    </row>
    <row r="32" spans="1:27" s="554" customFormat="1" hidden="1">
      <c r="A32" s="572" t="s">
        <v>269</v>
      </c>
      <c r="B32" s="573"/>
      <c r="C32" s="573"/>
      <c r="D32" s="573"/>
      <c r="E32" s="573"/>
      <c r="F32" s="573"/>
      <c r="G32" s="573"/>
      <c r="H32" s="573"/>
      <c r="I32" s="573"/>
      <c r="J32" s="573"/>
      <c r="K32" s="573"/>
      <c r="L32" s="574"/>
      <c r="M32" s="574">
        <f>SUM(M28:M31)</f>
        <v>1571.7</v>
      </c>
      <c r="N32" s="574">
        <f>SUM(N28:N31)</f>
        <v>7072.65</v>
      </c>
      <c r="O32" s="574">
        <f>SUM(O28:O31)</f>
        <v>10103.785714285716</v>
      </c>
      <c r="P32" s="574">
        <f>SUM(P28:P31)</f>
        <v>20082.857142857145</v>
      </c>
      <c r="Q32" s="574">
        <f>SUM(Q28:Q31)</f>
        <v>124.71428571428569</v>
      </c>
      <c r="R32" s="574">
        <f>SUM(R28:R31)</f>
        <v>0</v>
      </c>
      <c r="S32" s="574">
        <f>SUM(S28:S31)</f>
        <v>0</v>
      </c>
      <c r="T32" s="574">
        <f>SUM(T28:T31)</f>
        <v>0</v>
      </c>
      <c r="U32" s="574">
        <f>SUM(U28:U31)</f>
        <v>0</v>
      </c>
      <c r="V32" s="574">
        <f>SUM(V28:V31)</f>
        <v>0</v>
      </c>
      <c r="W32" s="574">
        <f>SUM(W28:W31)</f>
        <v>0</v>
      </c>
      <c r="X32" s="574"/>
      <c r="Y32" s="575"/>
      <c r="Z32" s="575"/>
      <c r="AA32" s="576"/>
    </row>
    <row r="33" spans="1:28" s="554" customFormat="1">
      <c r="A33" s="572" t="s">
        <v>276</v>
      </c>
      <c r="B33" s="573"/>
      <c r="C33" s="573"/>
      <c r="D33" s="573"/>
      <c r="E33" s="573"/>
      <c r="F33" s="573"/>
      <c r="G33" s="573"/>
      <c r="H33" s="573"/>
      <c r="I33" s="573"/>
      <c r="J33" s="573"/>
      <c r="K33" s="573"/>
      <c r="L33" s="574"/>
      <c r="M33" s="574">
        <f>SUMIF($AA$28:$AA$31,"industrie",M28:M31)</f>
        <v>0</v>
      </c>
      <c r="N33" s="574">
        <f>SUMIF($AA$28:$AA$31,"industrie",N28:N31)</f>
        <v>0</v>
      </c>
      <c r="O33" s="574">
        <f>SUMIF($AA$28:$AA$31,"industrie",O28:O31)</f>
        <v>0</v>
      </c>
      <c r="P33" s="574">
        <f>SUMIF($AA$28:$AA$31,"industrie",P28:P31)</f>
        <v>0</v>
      </c>
      <c r="Q33" s="574">
        <f>SUMIF($AA$28:$AA$31,"industrie",Q28:Q31)</f>
        <v>0</v>
      </c>
      <c r="R33" s="574">
        <f>SUMIF($AA$28:$AA$31,"industrie",R28:R31)</f>
        <v>0</v>
      </c>
      <c r="S33" s="574">
        <f>SUMIF($AA$28:$AA$31,"industrie",S28:S31)</f>
        <v>0</v>
      </c>
      <c r="T33" s="574">
        <f>SUMIF($AA$28:$AA$31,"industrie",T28:T31)</f>
        <v>0</v>
      </c>
      <c r="U33" s="574">
        <f>SUMIF($AA$28:$AA$31,"industrie",U28:U31)</f>
        <v>0</v>
      </c>
      <c r="V33" s="574">
        <f>SUMIF($AA$28:$AA$31,"industrie",V28:V31)</f>
        <v>0</v>
      </c>
      <c r="W33" s="574">
        <f>SUMIF($AA$28:$AA$31,"industrie",W28:W31)</f>
        <v>0</v>
      </c>
      <c r="X33" s="574"/>
      <c r="Y33" s="575"/>
      <c r="Z33" s="575"/>
      <c r="AA33" s="576"/>
    </row>
    <row r="34" spans="1:28" s="554" customFormat="1">
      <c r="A34" s="572" t="s">
        <v>277</v>
      </c>
      <c r="B34" s="573"/>
      <c r="C34" s="573"/>
      <c r="D34" s="573"/>
      <c r="E34" s="573"/>
      <c r="F34" s="573"/>
      <c r="G34" s="573"/>
      <c r="H34" s="573"/>
      <c r="I34" s="573"/>
      <c r="J34" s="573"/>
      <c r="K34" s="573"/>
      <c r="L34" s="574"/>
      <c r="M34" s="574">
        <f ca="1">SUMIF($AA$28:AD31,"tertiair",M28:M31)</f>
        <v>30</v>
      </c>
      <c r="N34" s="574">
        <f ca="1">SUMIF($AA$28:AE31,"tertiair",N28:N31)</f>
        <v>135</v>
      </c>
      <c r="O34" s="574">
        <f ca="1">SUMIF($AA$28:AF31,"tertiair",O28:O31)</f>
        <v>192.85714285714286</v>
      </c>
      <c r="P34" s="574">
        <f ca="1">SUMIF($AA$28:AG31,"tertiair",P28:P31)</f>
        <v>385.71428571428572</v>
      </c>
      <c r="Q34" s="574">
        <f ca="1">SUMIF($AA$28:AH31,"tertiair",Q28:Q31)</f>
        <v>0</v>
      </c>
      <c r="R34" s="574">
        <f ca="1">SUMIF($AA$28:AI31,"tertiair",R28:R31)</f>
        <v>0</v>
      </c>
      <c r="S34" s="574">
        <f ca="1">SUMIF($AA$28:AJ31,"tertiair",S28:S31)</f>
        <v>0</v>
      </c>
      <c r="T34" s="574">
        <f ca="1">SUMIF($AA$28:AK31,"tertiair",T28:T31)</f>
        <v>0</v>
      </c>
      <c r="U34" s="574">
        <f ca="1">SUMIF($AA$28:AL31,"tertiair",U28:U31)</f>
        <v>0</v>
      </c>
      <c r="V34" s="574">
        <f ca="1">SUMIF($AA$28:AM31,"tertiair",V28:V31)</f>
        <v>0</v>
      </c>
      <c r="W34" s="574">
        <f ca="1">SUMIF($AA$28:AN31,"tertiair",W28:W31)</f>
        <v>0</v>
      </c>
      <c r="X34" s="574"/>
      <c r="Y34" s="575"/>
      <c r="Z34" s="575"/>
      <c r="AA34" s="576"/>
    </row>
    <row r="35" spans="1:28" s="554" customFormat="1" ht="15.75" thickBot="1">
      <c r="A35" s="577" t="s">
        <v>278</v>
      </c>
      <c r="B35" s="578"/>
      <c r="C35" s="578"/>
      <c r="D35" s="578"/>
      <c r="E35" s="578"/>
      <c r="F35" s="578"/>
      <c r="G35" s="578"/>
      <c r="H35" s="578"/>
      <c r="I35" s="578"/>
      <c r="J35" s="578"/>
      <c r="K35" s="578"/>
      <c r="L35" s="579"/>
      <c r="M35" s="579">
        <f>SUMIF($AA$28:$AA$31,"landbouw",M28:M31)</f>
        <v>1541.7</v>
      </c>
      <c r="N35" s="579">
        <f>SUMIF($AA$28:$AA$31,"landbouw",N28:N31)</f>
        <v>6937.65</v>
      </c>
      <c r="O35" s="579">
        <f>SUMIF($AA$28:$AA$31,"landbouw",O28:O31)</f>
        <v>9910.9285714285706</v>
      </c>
      <c r="P35" s="579">
        <f>SUMIF($AA$28:$AA$31,"landbouw",P28:P31)</f>
        <v>19697.142857142859</v>
      </c>
      <c r="Q35" s="579">
        <f>SUMIF($AA$28:$AA$31,"landbouw",Q28:Q31)</f>
        <v>124.71428571428569</v>
      </c>
      <c r="R35" s="579">
        <f>SUMIF($AA$28:$AA$31,"landbouw",R28:R31)</f>
        <v>0</v>
      </c>
      <c r="S35" s="579">
        <f>SUMIF($AA$28:$AA$31,"landbouw",S28:S31)</f>
        <v>0</v>
      </c>
      <c r="T35" s="579">
        <f>SUMIF($AA$28:$AA$31,"landbouw",T28:T31)</f>
        <v>0</v>
      </c>
      <c r="U35" s="579">
        <f>SUMIF($AA$28:$AA$31,"landbouw",U28:U31)</f>
        <v>0</v>
      </c>
      <c r="V35" s="579">
        <f>SUMIF($AA$28:$AA$31,"landbouw",V28:V31)</f>
        <v>0</v>
      </c>
      <c r="W35" s="579">
        <f>SUMIF($AA$28:$AA$31,"landbouw",W28:W31)</f>
        <v>0</v>
      </c>
      <c r="X35" s="579"/>
      <c r="Y35" s="580"/>
      <c r="Z35" s="580"/>
      <c r="AA35" s="581"/>
    </row>
    <row r="36" spans="1:28" s="523" customFormat="1" ht="15.75" thickBot="1">
      <c r="A36" s="582"/>
      <c r="B36" s="583"/>
      <c r="C36" s="583"/>
      <c r="D36" s="583"/>
      <c r="E36" s="583"/>
      <c r="F36" s="583"/>
      <c r="G36" s="583"/>
      <c r="H36" s="583"/>
      <c r="I36" s="583"/>
      <c r="J36" s="583"/>
      <c r="K36" s="583"/>
      <c r="L36" s="566"/>
      <c r="M36" s="566"/>
      <c r="N36" s="566"/>
      <c r="O36" s="567"/>
      <c r="P36" s="567"/>
    </row>
    <row r="37" spans="1:28" s="523" customFormat="1" ht="45">
      <c r="A37" s="584" t="s">
        <v>270</v>
      </c>
      <c r="B37" s="613" t="s">
        <v>89</v>
      </c>
      <c r="C37" s="613" t="s">
        <v>90</v>
      </c>
      <c r="D37" s="613"/>
      <c r="E37" s="613"/>
      <c r="F37" s="613"/>
      <c r="G37" s="613" t="s">
        <v>91</v>
      </c>
      <c r="H37" s="613" t="s">
        <v>92</v>
      </c>
      <c r="I37" s="613"/>
      <c r="J37" s="613"/>
      <c r="K37" s="613"/>
      <c r="L37" s="613" t="s">
        <v>93</v>
      </c>
      <c r="M37" s="614" t="s">
        <v>287</v>
      </c>
      <c r="N37" s="614" t="s">
        <v>94</v>
      </c>
      <c r="O37" s="614" t="s">
        <v>95</v>
      </c>
      <c r="P37" s="614" t="s">
        <v>522</v>
      </c>
      <c r="Q37" s="614" t="s">
        <v>96</v>
      </c>
      <c r="R37" s="614" t="s">
        <v>97</v>
      </c>
      <c r="S37" s="614" t="s">
        <v>98</v>
      </c>
      <c r="T37" s="614" t="s">
        <v>99</v>
      </c>
      <c r="U37" s="614" t="s">
        <v>100</v>
      </c>
      <c r="V37" s="614" t="s">
        <v>101</v>
      </c>
      <c r="W37" s="613" t="s">
        <v>102</v>
      </c>
      <c r="X37" s="613" t="s">
        <v>886</v>
      </c>
      <c r="Y37" s="613" t="s">
        <v>288</v>
      </c>
      <c r="Z37" s="613" t="s">
        <v>103</v>
      </c>
      <c r="AA37" s="615" t="s">
        <v>289</v>
      </c>
    </row>
    <row r="38" spans="1:28" s="585" customFormat="1" ht="12.75" hidden="1">
      <c r="A38" s="571"/>
      <c r="B38" s="724"/>
      <c r="C38" s="724"/>
      <c r="D38" s="619"/>
      <c r="E38" s="619"/>
      <c r="F38" s="619"/>
      <c r="G38" s="619"/>
      <c r="H38" s="619"/>
      <c r="I38" s="619"/>
      <c r="J38" s="723"/>
      <c r="K38" s="723"/>
      <c r="L38" s="619"/>
      <c r="M38" s="619"/>
      <c r="N38" s="619"/>
      <c r="O38" s="619"/>
      <c r="P38" s="619"/>
      <c r="Q38" s="619"/>
      <c r="R38" s="619"/>
      <c r="S38" s="619"/>
      <c r="T38" s="619"/>
      <c r="U38" s="619"/>
      <c r="V38" s="619"/>
      <c r="W38" s="619"/>
      <c r="X38" s="619"/>
      <c r="Y38" s="619"/>
      <c r="Z38" s="619"/>
      <c r="AA38" s="620"/>
    </row>
    <row r="39" spans="1:28" s="554" customFormat="1" hidden="1">
      <c r="A39" s="572" t="s">
        <v>269</v>
      </c>
      <c r="B39" s="573"/>
      <c r="C39" s="573"/>
      <c r="D39" s="573"/>
      <c r="E39" s="573"/>
      <c r="F39" s="573"/>
      <c r="G39" s="573"/>
      <c r="H39" s="573"/>
      <c r="I39" s="573"/>
      <c r="J39" s="573"/>
      <c r="K39" s="573"/>
      <c r="L39" s="574"/>
      <c r="M39" s="574">
        <f>SUM(M38:M38)</f>
        <v>0</v>
      </c>
      <c r="N39" s="574">
        <f>SUM(N38:N38)</f>
        <v>0</v>
      </c>
      <c r="O39" s="574">
        <f>SUM(O38:O38)</f>
        <v>0</v>
      </c>
      <c r="P39" s="574">
        <f>SUM(P38:P38)</f>
        <v>0</v>
      </c>
      <c r="Q39" s="574">
        <f>SUM(Q38:Q38)</f>
        <v>0</v>
      </c>
      <c r="R39" s="574">
        <f>SUM(R38:R38)</f>
        <v>0</v>
      </c>
      <c r="S39" s="574">
        <f>SUM(S38:S38)</f>
        <v>0</v>
      </c>
      <c r="T39" s="574">
        <f>SUM(T38:T38)</f>
        <v>0</v>
      </c>
      <c r="U39" s="574">
        <f>SUM(U38:U38)</f>
        <v>0</v>
      </c>
      <c r="V39" s="574">
        <f>SUM(V38:V38)</f>
        <v>0</v>
      </c>
      <c r="W39" s="574">
        <f>SUM(W38:W38)</f>
        <v>0</v>
      </c>
      <c r="X39" s="574"/>
      <c r="Y39" s="575"/>
      <c r="Z39" s="575"/>
      <c r="AA39" s="576"/>
    </row>
    <row r="40" spans="1:28" s="554" customFormat="1">
      <c r="A40" s="572" t="s">
        <v>276</v>
      </c>
      <c r="B40" s="573"/>
      <c r="C40" s="573"/>
      <c r="D40" s="573"/>
      <c r="E40" s="573"/>
      <c r="F40" s="573"/>
      <c r="G40" s="573"/>
      <c r="H40" s="573"/>
      <c r="I40" s="573"/>
      <c r="J40" s="573"/>
      <c r="K40" s="573"/>
      <c r="L40" s="574"/>
      <c r="M40" s="574">
        <f>SUMIF($AA$38:$AA$38,"industrie",M38:M38)</f>
        <v>0</v>
      </c>
      <c r="N40" s="574">
        <f>SUMIF($AA$38:$AA$38,"industrie",N38:N38)</f>
        <v>0</v>
      </c>
      <c r="O40" s="574">
        <f>SUMIF($AA$38:$AA$38,"industrie",O38:O38)</f>
        <v>0</v>
      </c>
      <c r="P40" s="574">
        <f>SUMIF($AA$38:$AA$38,"industrie",P38:P38)</f>
        <v>0</v>
      </c>
      <c r="Q40" s="574">
        <f>SUMIF($AA$38:$AA$38,"industrie",Q38:Q38)</f>
        <v>0</v>
      </c>
      <c r="R40" s="574">
        <f>SUMIF($AA$38:$AA$38,"industrie",R38:R38)</f>
        <v>0</v>
      </c>
      <c r="S40" s="574">
        <f>SUMIF($AA$38:$AA$38,"industrie",S38:S38)</f>
        <v>0</v>
      </c>
      <c r="T40" s="574">
        <f>SUMIF($AA$38:$AA$38,"industrie",T38:T38)</f>
        <v>0</v>
      </c>
      <c r="U40" s="574">
        <f>SUMIF($AA$38:$AA$38,"industrie",U38:U38)</f>
        <v>0</v>
      </c>
      <c r="V40" s="574">
        <f>SUMIF($AA$38:$AA$38,"industrie",V38:V38)</f>
        <v>0</v>
      </c>
      <c r="W40" s="574">
        <f>SUMIF($AA$38:$AA$38,"industrie",W38:W38)</f>
        <v>0</v>
      </c>
      <c r="X40" s="574"/>
      <c r="Y40" s="575"/>
      <c r="Z40" s="575"/>
      <c r="AA40" s="576"/>
    </row>
    <row r="41" spans="1:28" s="554" customFormat="1">
      <c r="A41" s="572" t="s">
        <v>277</v>
      </c>
      <c r="B41" s="573"/>
      <c r="C41" s="573"/>
      <c r="D41" s="573"/>
      <c r="E41" s="573"/>
      <c r="F41" s="573"/>
      <c r="G41" s="573"/>
      <c r="H41" s="573"/>
      <c r="I41" s="573"/>
      <c r="J41" s="573"/>
      <c r="K41" s="573"/>
      <c r="L41" s="574"/>
      <c r="M41" s="574">
        <f>SUMIF($AA$38:$AA$39,"tertiair",M38:M39)</f>
        <v>0</v>
      </c>
      <c r="N41" s="574">
        <f>SUMIF($AA$38:$AA$39,"tertiair",N38:N39)</f>
        <v>0</v>
      </c>
      <c r="O41" s="574">
        <f>SUMIF($AA$38:$AA$39,"tertiair",O38:O39)</f>
        <v>0</v>
      </c>
      <c r="P41" s="574">
        <f>SUMIF($AA$38:$AA$39,"tertiair",P38:P39)</f>
        <v>0</v>
      </c>
      <c r="Q41" s="574">
        <f>SUMIF($AA$38:$AA$39,"tertiair",Q38:Q39)</f>
        <v>0</v>
      </c>
      <c r="R41" s="574">
        <f>SUMIF($AA$38:$AA$39,"tertiair",R38:R39)</f>
        <v>0</v>
      </c>
      <c r="S41" s="574">
        <f>SUMIF($AA$38:$AA$39,"tertiair",S38:S39)</f>
        <v>0</v>
      </c>
      <c r="T41" s="574">
        <f>SUMIF($AA$38:$AA$39,"tertiair",T38:T39)</f>
        <v>0</v>
      </c>
      <c r="U41" s="574">
        <f>SUMIF($AA$38:$AA$39,"tertiair",U38:U39)</f>
        <v>0</v>
      </c>
      <c r="V41" s="574">
        <f>SUMIF($AA$38:$AA$39,"tertiair",V38:V39)</f>
        <v>0</v>
      </c>
      <c r="W41" s="574">
        <f>SUMIF($AA$38:$AA$39,"tertiair",W38:W39)</f>
        <v>0</v>
      </c>
      <c r="X41" s="574"/>
      <c r="Y41" s="575"/>
      <c r="Z41" s="575"/>
      <c r="AA41" s="576"/>
    </row>
    <row r="42" spans="1:28" s="554" customFormat="1" ht="15.75" thickBot="1">
      <c r="A42" s="577" t="s">
        <v>278</v>
      </c>
      <c r="B42" s="578"/>
      <c r="C42" s="578"/>
      <c r="D42" s="578"/>
      <c r="E42" s="578"/>
      <c r="F42" s="578"/>
      <c r="G42" s="578"/>
      <c r="H42" s="578"/>
      <c r="I42" s="578"/>
      <c r="J42" s="578"/>
      <c r="K42" s="578"/>
      <c r="L42" s="579"/>
      <c r="M42" s="579">
        <f>SUMIF($AA$38:$AA$40,"landbouw",M38:M40)</f>
        <v>0</v>
      </c>
      <c r="N42" s="579">
        <f>SUMIF($AA$38:$AA$40,"landbouw",N38:N40)</f>
        <v>0</v>
      </c>
      <c r="O42" s="579">
        <f>SUMIF($AA$38:$AA$40,"landbouw",O38:O40)</f>
        <v>0</v>
      </c>
      <c r="P42" s="579">
        <f>SUMIF($AA$38:$AA$40,"landbouw",P38:P40)</f>
        <v>0</v>
      </c>
      <c r="Q42" s="579">
        <f>SUMIF($AA$38:$AA$40,"landbouw",Q38:Q40)</f>
        <v>0</v>
      </c>
      <c r="R42" s="579">
        <f>SUMIF($AA$38:$AA$40,"landbouw",R38:R40)</f>
        <v>0</v>
      </c>
      <c r="S42" s="579">
        <f>SUMIF($AA$38:$AA$40,"landbouw",S38:S40)</f>
        <v>0</v>
      </c>
      <c r="T42" s="579">
        <f>SUMIF($AA$38:$AA$40,"landbouw",T38:T40)</f>
        <v>0</v>
      </c>
      <c r="U42" s="579">
        <f>SUMIF($AA$38:$AA$40,"landbouw",U38:U40)</f>
        <v>0</v>
      </c>
      <c r="V42" s="579">
        <f>SUMIF($AA$38:$AA$40,"landbouw",V38:V40)</f>
        <v>0</v>
      </c>
      <c r="W42" s="579">
        <f>SUMIF($AA$38:$AA$40,"landbouw",W38:W40)</f>
        <v>0</v>
      </c>
      <c r="X42" s="579"/>
      <c r="Y42" s="580"/>
      <c r="Z42" s="580"/>
      <c r="AA42" s="581"/>
    </row>
    <row r="43" spans="1:28" s="586" customForma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row>
    <row r="44" spans="1:28" s="586" customFormat="1" ht="15.75" thickBot="1">
      <c r="A44" s="582"/>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row>
    <row r="45" spans="1:28">
      <c r="A45" s="587" t="s">
        <v>271</v>
      </c>
      <c r="B45" s="588"/>
      <c r="C45" s="588"/>
      <c r="D45" s="588"/>
      <c r="E45" s="588"/>
      <c r="F45" s="588"/>
      <c r="G45" s="588"/>
      <c r="H45" s="588"/>
      <c r="I45" s="589"/>
      <c r="J45" s="590"/>
      <c r="K45" s="590"/>
      <c r="L45" s="591"/>
      <c r="M45" s="591"/>
      <c r="N45" s="591"/>
      <c r="O45" s="591"/>
      <c r="P45" s="591"/>
    </row>
    <row r="46" spans="1:28">
      <c r="A46" s="593"/>
      <c r="B46" s="583"/>
      <c r="C46" s="583"/>
      <c r="D46" s="583"/>
      <c r="E46" s="583"/>
      <c r="F46" s="583"/>
      <c r="G46" s="583"/>
      <c r="H46" s="583"/>
      <c r="I46" s="594"/>
      <c r="J46" s="583"/>
      <c r="K46" s="583"/>
      <c r="L46" s="591"/>
      <c r="M46" s="591"/>
      <c r="N46" s="591"/>
      <c r="O46" s="591"/>
      <c r="P46" s="591"/>
    </row>
    <row r="47" spans="1:28">
      <c r="A47" s="595"/>
      <c r="B47" s="596" t="s">
        <v>272</v>
      </c>
      <c r="C47" s="596" t="s">
        <v>273</v>
      </c>
      <c r="D47" s="596"/>
      <c r="E47" s="596"/>
      <c r="F47" s="596"/>
      <c r="G47" s="596"/>
      <c r="H47" s="596"/>
      <c r="I47" s="597"/>
      <c r="J47" s="596"/>
      <c r="K47" s="596"/>
      <c r="L47" s="596"/>
      <c r="M47" s="596"/>
      <c r="N47" s="596"/>
      <c r="O47" s="596"/>
      <c r="P47" s="591"/>
    </row>
    <row r="48" spans="1:28">
      <c r="A48" s="593" t="s">
        <v>269</v>
      </c>
      <c r="B48" s="598">
        <f>IF(ISERROR(O32/(O32+N32)),0,O32/(O32+N32))</f>
        <v>0.58823529411764708</v>
      </c>
      <c r="C48" s="599">
        <f>IF(ISERROR(N32/(O32+N32)),0,N32/(N32+O32))</f>
        <v>0.41176470588235292</v>
      </c>
      <c r="D48" s="566"/>
      <c r="E48" s="566"/>
      <c r="F48" s="566"/>
      <c r="G48" s="566"/>
      <c r="H48" s="566"/>
      <c r="I48" s="600"/>
      <c r="J48" s="566"/>
      <c r="K48" s="566"/>
      <c r="L48" s="601"/>
      <c r="M48" s="601"/>
      <c r="N48" s="601"/>
      <c r="O48" s="601"/>
      <c r="P48" s="591"/>
    </row>
    <row r="49" spans="1:16">
      <c r="A49" s="593"/>
      <c r="B49" s="602"/>
      <c r="C49" s="602"/>
      <c r="D49" s="602"/>
      <c r="E49" s="602"/>
      <c r="F49" s="602"/>
      <c r="G49" s="602"/>
      <c r="H49" s="602"/>
      <c r="I49" s="603"/>
      <c r="J49" s="602"/>
      <c r="K49" s="602"/>
      <c r="L49" s="604"/>
      <c r="M49" s="604"/>
      <c r="N49" s="604"/>
      <c r="O49" s="604"/>
      <c r="P49" s="591"/>
    </row>
    <row r="50" spans="1:16" ht="30">
      <c r="A50" s="605"/>
      <c r="B50" s="606" t="s">
        <v>522</v>
      </c>
      <c r="C50" s="606" t="s">
        <v>96</v>
      </c>
      <c r="D50" s="606" t="s">
        <v>97</v>
      </c>
      <c r="E50" s="606" t="s">
        <v>98</v>
      </c>
      <c r="F50" s="606" t="s">
        <v>99</v>
      </c>
      <c r="G50" s="606" t="s">
        <v>100</v>
      </c>
      <c r="H50" s="606" t="s">
        <v>101</v>
      </c>
      <c r="I50" s="607" t="s">
        <v>102</v>
      </c>
      <c r="J50" s="596"/>
      <c r="K50" s="596"/>
      <c r="L50" s="604"/>
      <c r="M50" s="604"/>
      <c r="N50" s="604"/>
      <c r="O50" s="591"/>
      <c r="P50" s="591"/>
    </row>
    <row r="51" spans="1:16">
      <c r="A51" s="595" t="s">
        <v>274</v>
      </c>
      <c r="B51" s="608">
        <f t="shared" ref="B51:I51" si="2">$C$48*P32</f>
        <v>8269.4117647058829</v>
      </c>
      <c r="C51" s="608">
        <f t="shared" si="2"/>
        <v>51.35294117647058</v>
      </c>
      <c r="D51" s="608">
        <f t="shared" si="2"/>
        <v>0</v>
      </c>
      <c r="E51" s="608">
        <f t="shared" si="2"/>
        <v>0</v>
      </c>
      <c r="F51" s="608">
        <f t="shared" si="2"/>
        <v>0</v>
      </c>
      <c r="G51" s="608">
        <f t="shared" si="2"/>
        <v>0</v>
      </c>
      <c r="H51" s="608">
        <f t="shared" si="2"/>
        <v>0</v>
      </c>
      <c r="I51" s="609">
        <f t="shared" si="2"/>
        <v>0</v>
      </c>
      <c r="J51" s="566"/>
      <c r="K51" s="566"/>
      <c r="L51" s="604"/>
      <c r="M51" s="604"/>
      <c r="N51" s="604"/>
      <c r="O51" s="591"/>
      <c r="P51" s="591"/>
    </row>
    <row r="52" spans="1:16" ht="15.75" thickBot="1">
      <c r="A52" s="610" t="s">
        <v>275</v>
      </c>
      <c r="B52" s="611">
        <f t="shared" ref="B52:I52" si="3">$B$48*P32</f>
        <v>11813.445378151262</v>
      </c>
      <c r="C52" s="611">
        <f t="shared" si="3"/>
        <v>73.361344537815114</v>
      </c>
      <c r="D52" s="611">
        <f t="shared" si="3"/>
        <v>0</v>
      </c>
      <c r="E52" s="611">
        <f t="shared" si="3"/>
        <v>0</v>
      </c>
      <c r="F52" s="611">
        <f t="shared" si="3"/>
        <v>0</v>
      </c>
      <c r="G52" s="611">
        <f t="shared" si="3"/>
        <v>0</v>
      </c>
      <c r="H52" s="611">
        <f t="shared" si="3"/>
        <v>0</v>
      </c>
      <c r="I52" s="612">
        <f t="shared" si="3"/>
        <v>0</v>
      </c>
      <c r="J52" s="566"/>
      <c r="K52" s="566"/>
      <c r="L52" s="604"/>
      <c r="M52" s="604"/>
      <c r="N52" s="604"/>
      <c r="O52" s="591"/>
      <c r="P52" s="591"/>
    </row>
    <row r="53" spans="1:16">
      <c r="J53" s="552"/>
      <c r="K53" s="552"/>
      <c r="L53" s="552"/>
      <c r="M53" s="552"/>
      <c r="N53" s="552"/>
    </row>
    <row r="54" spans="1:16">
      <c r="J54" s="552"/>
      <c r="K54" s="552"/>
      <c r="L54" s="552"/>
      <c r="M54" s="552"/>
      <c r="N54"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30810.645465689995</v>
      </c>
      <c r="D10" s="930">
        <f ca="1">tertiair!C16</f>
        <v>192.85714285714286</v>
      </c>
      <c r="E10" s="930">
        <f ca="1">tertiair!D16</f>
        <v>29348.918182356134</v>
      </c>
      <c r="F10" s="930">
        <f>tertiair!E16</f>
        <v>514.77299161411884</v>
      </c>
      <c r="G10" s="930">
        <f ca="1">tertiair!F16</f>
        <v>5976.095965226742</v>
      </c>
      <c r="H10" s="930">
        <f>tertiair!G16</f>
        <v>0</v>
      </c>
      <c r="I10" s="930">
        <f>tertiair!H16</f>
        <v>0</v>
      </c>
      <c r="J10" s="930">
        <f>tertiair!I16</f>
        <v>0</v>
      </c>
      <c r="K10" s="930">
        <f>tertiair!J16</f>
        <v>3.7070589653580802E-2</v>
      </c>
      <c r="L10" s="930">
        <f>tertiair!K16</f>
        <v>0</v>
      </c>
      <c r="M10" s="930">
        <f ca="1">tertiair!L16</f>
        <v>0</v>
      </c>
      <c r="N10" s="930">
        <f>tertiair!M16</f>
        <v>0</v>
      </c>
      <c r="O10" s="930">
        <f ca="1">tertiair!N16</f>
        <v>1334.5162017576854</v>
      </c>
      <c r="P10" s="930">
        <f>tertiair!O16</f>
        <v>1.5633333333333335</v>
      </c>
      <c r="Q10" s="931">
        <f>tertiair!P16</f>
        <v>19.066666666666666</v>
      </c>
      <c r="R10" s="628">
        <f ca="1">SUM(C10:Q10)</f>
        <v>68198.473020091464</v>
      </c>
      <c r="S10" s="67"/>
    </row>
    <row r="11" spans="1:19" s="437" customFormat="1">
      <c r="A11" s="736" t="s">
        <v>214</v>
      </c>
      <c r="B11" s="741"/>
      <c r="C11" s="930">
        <f>huishoudens!B8</f>
        <v>41472.818812541533</v>
      </c>
      <c r="D11" s="930">
        <f>huishoudens!C8</f>
        <v>0</v>
      </c>
      <c r="E11" s="930">
        <f>huishoudens!D8</f>
        <v>69775.335266648006</v>
      </c>
      <c r="F11" s="930">
        <f>huishoudens!E8</f>
        <v>2002.6210822262212</v>
      </c>
      <c r="G11" s="930">
        <f>huishoudens!F8</f>
        <v>54447.303294349564</v>
      </c>
      <c r="H11" s="930">
        <f>huishoudens!G8</f>
        <v>0</v>
      </c>
      <c r="I11" s="930">
        <f>huishoudens!H8</f>
        <v>0</v>
      </c>
      <c r="J11" s="930">
        <f>huishoudens!I8</f>
        <v>0</v>
      </c>
      <c r="K11" s="930">
        <f>huishoudens!J8</f>
        <v>1004.1055224224482</v>
      </c>
      <c r="L11" s="930">
        <f>huishoudens!K8</f>
        <v>0</v>
      </c>
      <c r="M11" s="930">
        <f>huishoudens!L8</f>
        <v>0</v>
      </c>
      <c r="N11" s="930">
        <f>huishoudens!M8</f>
        <v>0</v>
      </c>
      <c r="O11" s="930">
        <f>huishoudens!N8</f>
        <v>11483.458274228888</v>
      </c>
      <c r="P11" s="930">
        <f>huishoudens!O8</f>
        <v>459.62</v>
      </c>
      <c r="Q11" s="931">
        <f>huishoudens!P8</f>
        <v>1792.2666666666667</v>
      </c>
      <c r="R11" s="628">
        <f>SUM(C11:Q11)</f>
        <v>182437.5289190833</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7629.7889475699994</v>
      </c>
      <c r="D13" s="930">
        <f>industrie!C18</f>
        <v>0</v>
      </c>
      <c r="E13" s="930">
        <f>industrie!D18</f>
        <v>27324.668579015502</v>
      </c>
      <c r="F13" s="930">
        <f>industrie!E18</f>
        <v>998.43610370069109</v>
      </c>
      <c r="G13" s="930">
        <f>industrie!F18</f>
        <v>3897.9558337905582</v>
      </c>
      <c r="H13" s="930">
        <f>industrie!G18</f>
        <v>0</v>
      </c>
      <c r="I13" s="930">
        <f>industrie!H18</f>
        <v>0</v>
      </c>
      <c r="J13" s="930">
        <f>industrie!I18</f>
        <v>0</v>
      </c>
      <c r="K13" s="930">
        <f>industrie!J18</f>
        <v>20.831175370847774</v>
      </c>
      <c r="L13" s="930">
        <f>industrie!K18</f>
        <v>0</v>
      </c>
      <c r="M13" s="930">
        <f>industrie!L18</f>
        <v>0</v>
      </c>
      <c r="N13" s="930">
        <f>industrie!M18</f>
        <v>0</v>
      </c>
      <c r="O13" s="930">
        <f>industrie!N18</f>
        <v>1247.4329051387886</v>
      </c>
      <c r="P13" s="930">
        <f>industrie!O18</f>
        <v>0</v>
      </c>
      <c r="Q13" s="931">
        <f>industrie!P18</f>
        <v>0</v>
      </c>
      <c r="R13" s="628">
        <f>SUM(C13:Q13)</f>
        <v>41119.113544586384</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79913.253225801513</v>
      </c>
      <c r="D16" s="660">
        <f t="shared" ref="D16:R16" ca="1" si="0">SUM(D9:D15)</f>
        <v>192.85714285714286</v>
      </c>
      <c r="E16" s="660">
        <f t="shared" ca="1" si="0"/>
        <v>126448.92202801965</v>
      </c>
      <c r="F16" s="660">
        <f t="shared" si="0"/>
        <v>3515.8301775410309</v>
      </c>
      <c r="G16" s="660">
        <f t="shared" ca="1" si="0"/>
        <v>64321.355093366859</v>
      </c>
      <c r="H16" s="660">
        <f t="shared" si="0"/>
        <v>0</v>
      </c>
      <c r="I16" s="660">
        <f t="shared" si="0"/>
        <v>0</v>
      </c>
      <c r="J16" s="660">
        <f t="shared" si="0"/>
        <v>0</v>
      </c>
      <c r="K16" s="660">
        <f t="shared" si="0"/>
        <v>1024.9737683829496</v>
      </c>
      <c r="L16" s="660">
        <f t="shared" si="0"/>
        <v>0</v>
      </c>
      <c r="M16" s="660">
        <f t="shared" ca="1" si="0"/>
        <v>0</v>
      </c>
      <c r="N16" s="660">
        <f t="shared" si="0"/>
        <v>0</v>
      </c>
      <c r="O16" s="660">
        <f t="shared" ca="1" si="0"/>
        <v>14065.407381125362</v>
      </c>
      <c r="P16" s="660">
        <f t="shared" si="0"/>
        <v>461.18333333333334</v>
      </c>
      <c r="Q16" s="660">
        <f t="shared" si="0"/>
        <v>1811.3333333333333</v>
      </c>
      <c r="R16" s="660">
        <f t="shared" ca="1" si="0"/>
        <v>291755.11548376118</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12.52342001272104</v>
      </c>
      <c r="D19" s="930">
        <f>transport!C54</f>
        <v>0</v>
      </c>
      <c r="E19" s="930">
        <f>transport!D54</f>
        <v>0</v>
      </c>
      <c r="F19" s="930">
        <f>transport!E54</f>
        <v>0</v>
      </c>
      <c r="G19" s="930">
        <f>transport!F54</f>
        <v>0</v>
      </c>
      <c r="H19" s="930">
        <f>transport!G54</f>
        <v>2232.9523020095507</v>
      </c>
      <c r="I19" s="930">
        <f>transport!H54</f>
        <v>0</v>
      </c>
      <c r="J19" s="930">
        <f>transport!I54</f>
        <v>0</v>
      </c>
      <c r="K19" s="930">
        <f>transport!J54</f>
        <v>0</v>
      </c>
      <c r="L19" s="930">
        <f>transport!K54</f>
        <v>0</v>
      </c>
      <c r="M19" s="930">
        <f>transport!L54</f>
        <v>0</v>
      </c>
      <c r="N19" s="930">
        <f>transport!M54</f>
        <v>69.704118995899165</v>
      </c>
      <c r="O19" s="930">
        <f>transport!N54</f>
        <v>0</v>
      </c>
      <c r="P19" s="930">
        <f>transport!O54</f>
        <v>0</v>
      </c>
      <c r="Q19" s="931">
        <f>transport!P54</f>
        <v>0</v>
      </c>
      <c r="R19" s="628">
        <f>SUM(C19:Q19)</f>
        <v>2315.1798410181709</v>
      </c>
      <c r="S19" s="67"/>
    </row>
    <row r="20" spans="1:19" s="437" customFormat="1">
      <c r="A20" s="736" t="s">
        <v>296</v>
      </c>
      <c r="B20" s="741"/>
      <c r="C20" s="930">
        <f>transport!B14</f>
        <v>66.458274452854056</v>
      </c>
      <c r="D20" s="930">
        <f>transport!C14</f>
        <v>0</v>
      </c>
      <c r="E20" s="930">
        <f>transport!D14</f>
        <v>96.769616436912187</v>
      </c>
      <c r="F20" s="930">
        <f>transport!E14</f>
        <v>496.25117753602223</v>
      </c>
      <c r="G20" s="930">
        <f>transport!F14</f>
        <v>0</v>
      </c>
      <c r="H20" s="930">
        <f>transport!G14</f>
        <v>241442.07005116114</v>
      </c>
      <c r="I20" s="930">
        <f>transport!H14</f>
        <v>34422.187537905687</v>
      </c>
      <c r="J20" s="930">
        <f>transport!I14</f>
        <v>0</v>
      </c>
      <c r="K20" s="930">
        <f>transport!J14</f>
        <v>0</v>
      </c>
      <c r="L20" s="930">
        <f>transport!K14</f>
        <v>0</v>
      </c>
      <c r="M20" s="930">
        <f>transport!L14</f>
        <v>0</v>
      </c>
      <c r="N20" s="930">
        <f>transport!M14</f>
        <v>8627.3588470285122</v>
      </c>
      <c r="O20" s="930">
        <f>transport!N14</f>
        <v>0</v>
      </c>
      <c r="P20" s="930">
        <f>transport!O14</f>
        <v>0</v>
      </c>
      <c r="Q20" s="931">
        <f>transport!P14</f>
        <v>0</v>
      </c>
      <c r="R20" s="628">
        <f>SUM(C20:Q20)</f>
        <v>285151.0955045211</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78.981694465575089</v>
      </c>
      <c r="D22" s="739">
        <f t="shared" ref="D22:R22" si="1">SUM(D18:D21)</f>
        <v>0</v>
      </c>
      <c r="E22" s="739">
        <f t="shared" si="1"/>
        <v>96.769616436912187</v>
      </c>
      <c r="F22" s="739">
        <f t="shared" si="1"/>
        <v>496.25117753602223</v>
      </c>
      <c r="G22" s="739">
        <f t="shared" si="1"/>
        <v>0</v>
      </c>
      <c r="H22" s="739">
        <f t="shared" si="1"/>
        <v>243675.02235317067</v>
      </c>
      <c r="I22" s="739">
        <f t="shared" si="1"/>
        <v>34422.187537905687</v>
      </c>
      <c r="J22" s="739">
        <f t="shared" si="1"/>
        <v>0</v>
      </c>
      <c r="K22" s="739">
        <f t="shared" si="1"/>
        <v>0</v>
      </c>
      <c r="L22" s="739">
        <f t="shared" si="1"/>
        <v>0</v>
      </c>
      <c r="M22" s="739">
        <f t="shared" si="1"/>
        <v>0</v>
      </c>
      <c r="N22" s="739">
        <f t="shared" si="1"/>
        <v>8697.0629660244122</v>
      </c>
      <c r="O22" s="739">
        <f t="shared" si="1"/>
        <v>0</v>
      </c>
      <c r="P22" s="739">
        <f t="shared" si="1"/>
        <v>0</v>
      </c>
      <c r="Q22" s="739">
        <f t="shared" si="1"/>
        <v>0</v>
      </c>
      <c r="R22" s="739">
        <f t="shared" si="1"/>
        <v>287466.27534553927</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10892.013533103</v>
      </c>
      <c r="D24" s="930">
        <f>+landbouw!C8</f>
        <v>9910.9285714285706</v>
      </c>
      <c r="E24" s="930">
        <f>+landbouw!D8</f>
        <v>33154.625754709909</v>
      </c>
      <c r="F24" s="930">
        <f>+landbouw!E8</f>
        <v>215.78015530239088</v>
      </c>
      <c r="G24" s="930">
        <f>+landbouw!F8</f>
        <v>39720.101352971345</v>
      </c>
      <c r="H24" s="930">
        <f>+landbouw!G8</f>
        <v>0</v>
      </c>
      <c r="I24" s="930">
        <f>+landbouw!H8</f>
        <v>0</v>
      </c>
      <c r="J24" s="930">
        <f>+landbouw!I8</f>
        <v>0</v>
      </c>
      <c r="K24" s="930">
        <f>+landbouw!J8</f>
        <v>2586.2028420582083</v>
      </c>
      <c r="L24" s="930">
        <f>+landbouw!K8</f>
        <v>0</v>
      </c>
      <c r="M24" s="930">
        <f>+landbouw!L8</f>
        <v>0</v>
      </c>
      <c r="N24" s="930">
        <f>+landbouw!M8</f>
        <v>0</v>
      </c>
      <c r="O24" s="930">
        <f>+landbouw!N8</f>
        <v>0</v>
      </c>
      <c r="P24" s="930">
        <f>+landbouw!O8</f>
        <v>0</v>
      </c>
      <c r="Q24" s="931">
        <f>+landbouw!P8</f>
        <v>0</v>
      </c>
      <c r="R24" s="628">
        <f>SUM(C24:Q24)</f>
        <v>96479.652209573425</v>
      </c>
      <c r="S24" s="67"/>
    </row>
    <row r="25" spans="1:19" s="437" customFormat="1" ht="15" thickBot="1">
      <c r="A25" s="758" t="s">
        <v>788</v>
      </c>
      <c r="B25" s="933"/>
      <c r="C25" s="934">
        <f>IF(Onbekend_ele_kWh="---",0,Onbekend_ele_kWh)/1000+IF(REST_rest_ele_kWh="---",0,REST_rest_ele_kWh)/1000</f>
        <v>1189.0610514</v>
      </c>
      <c r="D25" s="934"/>
      <c r="E25" s="934">
        <f>IF(onbekend_gas_kWh="---",0,onbekend_gas_kWh)/1000+IF(REST_rest_gas_kWh="---",0,REST_rest_gas_kWh)/1000</f>
        <v>1601.6982369</v>
      </c>
      <c r="F25" s="934"/>
      <c r="G25" s="934"/>
      <c r="H25" s="934"/>
      <c r="I25" s="934"/>
      <c r="J25" s="934"/>
      <c r="K25" s="934"/>
      <c r="L25" s="934"/>
      <c r="M25" s="934"/>
      <c r="N25" s="934"/>
      <c r="O25" s="934"/>
      <c r="P25" s="934"/>
      <c r="Q25" s="935"/>
      <c r="R25" s="628">
        <f>SUM(C25:Q25)</f>
        <v>2790.7592882999998</v>
      </c>
      <c r="S25" s="67"/>
    </row>
    <row r="26" spans="1:19" s="437" customFormat="1" ht="15.75" thickBot="1">
      <c r="A26" s="633" t="s">
        <v>789</v>
      </c>
      <c r="B26" s="744"/>
      <c r="C26" s="739">
        <f>SUM(C24:C25)</f>
        <v>12081.074584503</v>
      </c>
      <c r="D26" s="739">
        <f t="shared" ref="D26:R26" si="2">SUM(D24:D25)</f>
        <v>9910.9285714285706</v>
      </c>
      <c r="E26" s="739">
        <f t="shared" si="2"/>
        <v>34756.323991609912</v>
      </c>
      <c r="F26" s="739">
        <f t="shared" si="2"/>
        <v>215.78015530239088</v>
      </c>
      <c r="G26" s="739">
        <f t="shared" si="2"/>
        <v>39720.101352971345</v>
      </c>
      <c r="H26" s="739">
        <f t="shared" si="2"/>
        <v>0</v>
      </c>
      <c r="I26" s="739">
        <f t="shared" si="2"/>
        <v>0</v>
      </c>
      <c r="J26" s="739">
        <f t="shared" si="2"/>
        <v>0</v>
      </c>
      <c r="K26" s="739">
        <f t="shared" si="2"/>
        <v>2586.2028420582083</v>
      </c>
      <c r="L26" s="739">
        <f t="shared" si="2"/>
        <v>0</v>
      </c>
      <c r="M26" s="739">
        <f t="shared" si="2"/>
        <v>0</v>
      </c>
      <c r="N26" s="739">
        <f t="shared" si="2"/>
        <v>0</v>
      </c>
      <c r="O26" s="739">
        <f t="shared" si="2"/>
        <v>0</v>
      </c>
      <c r="P26" s="739">
        <f t="shared" si="2"/>
        <v>0</v>
      </c>
      <c r="Q26" s="739">
        <f t="shared" si="2"/>
        <v>0</v>
      </c>
      <c r="R26" s="739">
        <f t="shared" si="2"/>
        <v>99270.411497873429</v>
      </c>
      <c r="S26" s="67"/>
    </row>
    <row r="27" spans="1:19" s="437" customFormat="1" ht="17.25" thickTop="1" thickBot="1">
      <c r="A27" s="634" t="s">
        <v>109</v>
      </c>
      <c r="B27" s="732"/>
      <c r="C27" s="635">
        <f ca="1">C22+C16+C26</f>
        <v>92073.309504770092</v>
      </c>
      <c r="D27" s="635">
        <f t="shared" ref="D27:R27" ca="1" si="3">D22+D16+D26</f>
        <v>10103.785714285714</v>
      </c>
      <c r="E27" s="635">
        <f t="shared" ca="1" si="3"/>
        <v>161302.01563606647</v>
      </c>
      <c r="F27" s="635">
        <f t="shared" si="3"/>
        <v>4227.8615103794436</v>
      </c>
      <c r="G27" s="635">
        <f t="shared" ca="1" si="3"/>
        <v>104041.45644633821</v>
      </c>
      <c r="H27" s="635">
        <f t="shared" si="3"/>
        <v>243675.02235317067</v>
      </c>
      <c r="I27" s="635">
        <f t="shared" si="3"/>
        <v>34422.187537905687</v>
      </c>
      <c r="J27" s="635">
        <f t="shared" si="3"/>
        <v>0</v>
      </c>
      <c r="K27" s="635">
        <f t="shared" si="3"/>
        <v>3611.1766104411581</v>
      </c>
      <c r="L27" s="635">
        <f t="shared" si="3"/>
        <v>0</v>
      </c>
      <c r="M27" s="635">
        <f t="shared" ca="1" si="3"/>
        <v>0</v>
      </c>
      <c r="N27" s="635">
        <f t="shared" si="3"/>
        <v>8697.0629660244122</v>
      </c>
      <c r="O27" s="635">
        <f t="shared" ca="1" si="3"/>
        <v>14065.407381125362</v>
      </c>
      <c r="P27" s="635">
        <f t="shared" si="3"/>
        <v>461.18333333333334</v>
      </c>
      <c r="Q27" s="635">
        <f t="shared" si="3"/>
        <v>1811.3333333333333</v>
      </c>
      <c r="R27" s="635">
        <f t="shared" ca="1" si="3"/>
        <v>678491.80232717399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5846.695283825964</v>
      </c>
      <c r="D40" s="930">
        <f ca="1">tertiair!C20</f>
        <v>45.549073609210822</v>
      </c>
      <c r="E40" s="930">
        <f ca="1">tertiair!D20</f>
        <v>5928.4814728359397</v>
      </c>
      <c r="F40" s="930">
        <f>tertiair!E20</f>
        <v>116.85346909640498</v>
      </c>
      <c r="G40" s="930">
        <f ca="1">tertiair!F20</f>
        <v>1595.6176227155402</v>
      </c>
      <c r="H40" s="930">
        <f>tertiair!G20</f>
        <v>0</v>
      </c>
      <c r="I40" s="930">
        <f>tertiair!H20</f>
        <v>0</v>
      </c>
      <c r="J40" s="930">
        <f>tertiair!I20</f>
        <v>0</v>
      </c>
      <c r="K40" s="930">
        <f>tertiair!J20</f>
        <v>1.3122988737367603E-2</v>
      </c>
      <c r="L40" s="930">
        <f>tertiair!K20</f>
        <v>0</v>
      </c>
      <c r="M40" s="930">
        <f ca="1">tertiair!L20</f>
        <v>0</v>
      </c>
      <c r="N40" s="930">
        <f>tertiair!M20</f>
        <v>0</v>
      </c>
      <c r="O40" s="930">
        <f ca="1">tertiair!N20</f>
        <v>0</v>
      </c>
      <c r="P40" s="930">
        <f>tertiair!O20</f>
        <v>0</v>
      </c>
      <c r="Q40" s="702">
        <f>tertiair!P20</f>
        <v>0</v>
      </c>
      <c r="R40" s="777">
        <f t="shared" ca="1" si="4"/>
        <v>13533.210045071795</v>
      </c>
    </row>
    <row r="41" spans="1:18">
      <c r="A41" s="749" t="s">
        <v>214</v>
      </c>
      <c r="B41" s="756"/>
      <c r="C41" s="930">
        <f ca="1">huishoudens!B12</f>
        <v>7869.9725530993528</v>
      </c>
      <c r="D41" s="930">
        <f ca="1">huishoudens!C12</f>
        <v>0</v>
      </c>
      <c r="E41" s="930">
        <f>huishoudens!D12</f>
        <v>14094.617723862899</v>
      </c>
      <c r="F41" s="930">
        <f>huishoudens!E12</f>
        <v>454.59498566535223</v>
      </c>
      <c r="G41" s="930">
        <f>huishoudens!F12</f>
        <v>14537.429979591334</v>
      </c>
      <c r="H41" s="930">
        <f>huishoudens!G12</f>
        <v>0</v>
      </c>
      <c r="I41" s="930">
        <f>huishoudens!H12</f>
        <v>0</v>
      </c>
      <c r="J41" s="930">
        <f>huishoudens!I12</f>
        <v>0</v>
      </c>
      <c r="K41" s="930">
        <f>huishoudens!J12</f>
        <v>355.45335493754664</v>
      </c>
      <c r="L41" s="930">
        <f>huishoudens!K12</f>
        <v>0</v>
      </c>
      <c r="M41" s="930">
        <f>huishoudens!L12</f>
        <v>0</v>
      </c>
      <c r="N41" s="930">
        <f>huishoudens!M12</f>
        <v>0</v>
      </c>
      <c r="O41" s="930">
        <f>huishoudens!N12</f>
        <v>0</v>
      </c>
      <c r="P41" s="930">
        <f>huishoudens!O12</f>
        <v>0</v>
      </c>
      <c r="Q41" s="702">
        <f>huishoudens!P12</f>
        <v>0</v>
      </c>
      <c r="R41" s="777">
        <f t="shared" ca="1" si="4"/>
        <v>37312.068597156489</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1447.8453918149999</v>
      </c>
      <c r="D43" s="930">
        <f ca="1">industrie!C22</f>
        <v>0</v>
      </c>
      <c r="E43" s="930">
        <f>industrie!D22</f>
        <v>5519.5830529611321</v>
      </c>
      <c r="F43" s="930">
        <f>industrie!E22</f>
        <v>226.6449955400569</v>
      </c>
      <c r="G43" s="930">
        <f>industrie!F22</f>
        <v>1040.7542076220791</v>
      </c>
      <c r="H43" s="930">
        <f>industrie!G22</f>
        <v>0</v>
      </c>
      <c r="I43" s="930">
        <f>industrie!H22</f>
        <v>0</v>
      </c>
      <c r="J43" s="930">
        <f>industrie!I22</f>
        <v>0</v>
      </c>
      <c r="K43" s="930">
        <f>industrie!J22</f>
        <v>7.3742360812801113</v>
      </c>
      <c r="L43" s="930">
        <f>industrie!K22</f>
        <v>0</v>
      </c>
      <c r="M43" s="930">
        <f>industrie!L22</f>
        <v>0</v>
      </c>
      <c r="N43" s="930">
        <f>industrie!M22</f>
        <v>0</v>
      </c>
      <c r="O43" s="930">
        <f>industrie!N22</f>
        <v>0</v>
      </c>
      <c r="P43" s="930">
        <f>industrie!O22</f>
        <v>0</v>
      </c>
      <c r="Q43" s="702">
        <f>industrie!P22</f>
        <v>0</v>
      </c>
      <c r="R43" s="776">
        <f t="shared" ca="1" si="4"/>
        <v>8242.2018840195469</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15164.513228740318</v>
      </c>
      <c r="D46" s="660">
        <f t="shared" ref="D46:Q46" ca="1" si="5">SUM(D39:D45)</f>
        <v>45.549073609210822</v>
      </c>
      <c r="E46" s="660">
        <f t="shared" ca="1" si="5"/>
        <v>25542.682249659971</v>
      </c>
      <c r="F46" s="660">
        <f t="shared" si="5"/>
        <v>798.09345030181407</v>
      </c>
      <c r="G46" s="660">
        <f t="shared" ca="1" si="5"/>
        <v>17173.801809928951</v>
      </c>
      <c r="H46" s="660">
        <f t="shared" si="5"/>
        <v>0</v>
      </c>
      <c r="I46" s="660">
        <f t="shared" si="5"/>
        <v>0</v>
      </c>
      <c r="J46" s="660">
        <f t="shared" si="5"/>
        <v>0</v>
      </c>
      <c r="K46" s="660">
        <f t="shared" si="5"/>
        <v>362.84071400756415</v>
      </c>
      <c r="L46" s="660">
        <f t="shared" si="5"/>
        <v>0</v>
      </c>
      <c r="M46" s="660">
        <f t="shared" ca="1" si="5"/>
        <v>0</v>
      </c>
      <c r="N46" s="660">
        <f t="shared" si="5"/>
        <v>0</v>
      </c>
      <c r="O46" s="660">
        <f t="shared" ca="1" si="5"/>
        <v>0</v>
      </c>
      <c r="P46" s="660">
        <f t="shared" si="5"/>
        <v>0</v>
      </c>
      <c r="Q46" s="660">
        <f t="shared" si="5"/>
        <v>0</v>
      </c>
      <c r="R46" s="660">
        <f ca="1">SUM(R39:R45)</f>
        <v>59087.480526247826</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2.3764714961030124</v>
      </c>
      <c r="D49" s="930">
        <f ca="1">transport!C58</f>
        <v>0</v>
      </c>
      <c r="E49" s="930">
        <f>transport!D58</f>
        <v>0</v>
      </c>
      <c r="F49" s="930">
        <f>transport!E58</f>
        <v>0</v>
      </c>
      <c r="G49" s="930">
        <f>transport!F58</f>
        <v>0</v>
      </c>
      <c r="H49" s="930">
        <f>transport!G58</f>
        <v>596.19826463655011</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598.57473613265313</v>
      </c>
    </row>
    <row r="50" spans="1:18">
      <c r="A50" s="752" t="s">
        <v>296</v>
      </c>
      <c r="B50" s="762"/>
      <c r="C50" s="631">
        <f ca="1">transport!B18</f>
        <v>12.611267110499389</v>
      </c>
      <c r="D50" s="631">
        <f>transport!C18</f>
        <v>0</v>
      </c>
      <c r="E50" s="631">
        <f>transport!D18</f>
        <v>19.547462520256264</v>
      </c>
      <c r="F50" s="631">
        <f>transport!E18</f>
        <v>112.64901730067704</v>
      </c>
      <c r="G50" s="631">
        <f>transport!F18</f>
        <v>0</v>
      </c>
      <c r="H50" s="631">
        <f>transport!G18</f>
        <v>64465.032703660028</v>
      </c>
      <c r="I50" s="631">
        <f>transport!H18</f>
        <v>8571.1246969385156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73180.965147529976</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14.987738606602402</v>
      </c>
      <c r="D52" s="660">
        <f t="shared" ref="D52:Q52" ca="1" si="6">SUM(D48:D51)</f>
        <v>0</v>
      </c>
      <c r="E52" s="660">
        <f t="shared" si="6"/>
        <v>19.547462520256264</v>
      </c>
      <c r="F52" s="660">
        <f t="shared" si="6"/>
        <v>112.64901730067704</v>
      </c>
      <c r="G52" s="660">
        <f t="shared" si="6"/>
        <v>0</v>
      </c>
      <c r="H52" s="660">
        <f t="shared" si="6"/>
        <v>65061.230968296579</v>
      </c>
      <c r="I52" s="660">
        <f t="shared" si="6"/>
        <v>8571.1246969385156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73779.539883662626</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2066.8922443146139</v>
      </c>
      <c r="D54" s="631">
        <f ca="1">+landbouw!C12</f>
        <v>2340.7668927773439</v>
      </c>
      <c r="E54" s="631">
        <f>+landbouw!D12</f>
        <v>6697.2344024514023</v>
      </c>
      <c r="F54" s="631">
        <f>+landbouw!E12</f>
        <v>48.982095253642733</v>
      </c>
      <c r="G54" s="631">
        <f>+landbouw!F12</f>
        <v>10605.26706124335</v>
      </c>
      <c r="H54" s="631">
        <f>+landbouw!G12</f>
        <v>0</v>
      </c>
      <c r="I54" s="631">
        <f>+landbouw!H12</f>
        <v>0</v>
      </c>
      <c r="J54" s="631">
        <f>+landbouw!I12</f>
        <v>0</v>
      </c>
      <c r="K54" s="631">
        <f>+landbouw!J12</f>
        <v>915.5158060886057</v>
      </c>
      <c r="L54" s="631">
        <f>+landbouw!K12</f>
        <v>0</v>
      </c>
      <c r="M54" s="631">
        <f>+landbouw!L12</f>
        <v>0</v>
      </c>
      <c r="N54" s="631">
        <f>+landbouw!M12</f>
        <v>0</v>
      </c>
      <c r="O54" s="631">
        <f>+landbouw!N12</f>
        <v>0</v>
      </c>
      <c r="P54" s="631">
        <f>+landbouw!O12</f>
        <v>0</v>
      </c>
      <c r="Q54" s="632">
        <f>+landbouw!P12</f>
        <v>0</v>
      </c>
      <c r="R54" s="659">
        <f ca="1">SUM(C54:Q54)</f>
        <v>22674.658502128961</v>
      </c>
    </row>
    <row r="55" spans="1:18" ht="15" thickBot="1">
      <c r="A55" s="752" t="s">
        <v>788</v>
      </c>
      <c r="B55" s="762"/>
      <c r="C55" s="631">
        <f ca="1">C25*'EF ele_warmte'!B12</f>
        <v>225.63881854222078</v>
      </c>
      <c r="D55" s="631"/>
      <c r="E55" s="631">
        <f>E25*EF_CO2_aardgas</f>
        <v>323.54304385380004</v>
      </c>
      <c r="F55" s="631"/>
      <c r="G55" s="631"/>
      <c r="H55" s="631"/>
      <c r="I55" s="631"/>
      <c r="J55" s="631"/>
      <c r="K55" s="631"/>
      <c r="L55" s="631"/>
      <c r="M55" s="631"/>
      <c r="N55" s="631"/>
      <c r="O55" s="631"/>
      <c r="P55" s="631"/>
      <c r="Q55" s="632"/>
      <c r="R55" s="659">
        <f ca="1">SUM(C55:Q55)</f>
        <v>549.18186239602085</v>
      </c>
    </row>
    <row r="56" spans="1:18" ht="15.75" thickBot="1">
      <c r="A56" s="750" t="s">
        <v>789</v>
      </c>
      <c r="B56" s="763"/>
      <c r="C56" s="660">
        <f ca="1">SUM(C54:C55)</f>
        <v>2292.5310628568345</v>
      </c>
      <c r="D56" s="660">
        <f t="shared" ref="D56:Q56" ca="1" si="7">SUM(D54:D55)</f>
        <v>2340.7668927773439</v>
      </c>
      <c r="E56" s="660">
        <f t="shared" si="7"/>
        <v>7020.7774463052019</v>
      </c>
      <c r="F56" s="660">
        <f t="shared" si="7"/>
        <v>48.982095253642733</v>
      </c>
      <c r="G56" s="660">
        <f t="shared" si="7"/>
        <v>10605.26706124335</v>
      </c>
      <c r="H56" s="660">
        <f t="shared" si="7"/>
        <v>0</v>
      </c>
      <c r="I56" s="660">
        <f t="shared" si="7"/>
        <v>0</v>
      </c>
      <c r="J56" s="660">
        <f t="shared" si="7"/>
        <v>0</v>
      </c>
      <c r="K56" s="660">
        <f t="shared" si="7"/>
        <v>915.5158060886057</v>
      </c>
      <c r="L56" s="660">
        <f t="shared" si="7"/>
        <v>0</v>
      </c>
      <c r="M56" s="660">
        <f t="shared" si="7"/>
        <v>0</v>
      </c>
      <c r="N56" s="660">
        <f t="shared" si="7"/>
        <v>0</v>
      </c>
      <c r="O56" s="660">
        <f t="shared" si="7"/>
        <v>0</v>
      </c>
      <c r="P56" s="660">
        <f t="shared" si="7"/>
        <v>0</v>
      </c>
      <c r="Q56" s="661">
        <f t="shared" si="7"/>
        <v>0</v>
      </c>
      <c r="R56" s="662">
        <f ca="1">SUM(R54:R55)</f>
        <v>23223.840364524982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17472.032030203754</v>
      </c>
      <c r="D61" s="668">
        <f t="shared" ref="D61:Q61" ca="1" si="8">D46+D52+D56</f>
        <v>2386.3159663865545</v>
      </c>
      <c r="E61" s="668">
        <f t="shared" ca="1" si="8"/>
        <v>32583.007158485427</v>
      </c>
      <c r="F61" s="668">
        <f t="shared" si="8"/>
        <v>959.72456285613384</v>
      </c>
      <c r="G61" s="668">
        <f t="shared" ca="1" si="8"/>
        <v>27779.068871172301</v>
      </c>
      <c r="H61" s="668">
        <f t="shared" si="8"/>
        <v>65061.230968296579</v>
      </c>
      <c r="I61" s="668">
        <f t="shared" si="8"/>
        <v>8571.1246969385156</v>
      </c>
      <c r="J61" s="668">
        <f t="shared" si="8"/>
        <v>0</v>
      </c>
      <c r="K61" s="668">
        <f t="shared" si="8"/>
        <v>1278.3565200961698</v>
      </c>
      <c r="L61" s="668">
        <f t="shared" si="8"/>
        <v>0</v>
      </c>
      <c r="M61" s="668">
        <f t="shared" ca="1" si="8"/>
        <v>0</v>
      </c>
      <c r="N61" s="668">
        <f t="shared" si="8"/>
        <v>0</v>
      </c>
      <c r="O61" s="668">
        <f t="shared" ca="1" si="8"/>
        <v>0</v>
      </c>
      <c r="P61" s="668">
        <f t="shared" si="8"/>
        <v>0</v>
      </c>
      <c r="Q61" s="668">
        <f t="shared" si="8"/>
        <v>0</v>
      </c>
      <c r="R61" s="668">
        <f ca="1">R46+R52+R56</f>
        <v>156090.86077443542</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0.18976218107266549</v>
      </c>
      <c r="D63" s="709">
        <f t="shared" ca="1" si="9"/>
        <v>0.23618038167738942</v>
      </c>
      <c r="E63" s="941">
        <f t="shared" ca="1" si="9"/>
        <v>0.20200000000000001</v>
      </c>
      <c r="F63" s="709">
        <f t="shared" si="9"/>
        <v>0.22700000000000004</v>
      </c>
      <c r="G63" s="709">
        <f t="shared" ca="1" si="9"/>
        <v>0.26700000000000002</v>
      </c>
      <c r="H63" s="709">
        <f t="shared" si="9"/>
        <v>0.26700000000000002</v>
      </c>
      <c r="I63" s="709">
        <f t="shared" si="9"/>
        <v>0.24899999999999997</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7231.7903095915208</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6268.3675945760115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43.649999999999991</v>
      </c>
      <c r="C76" s="678">
        <f>'lokale energieproductie'!B8*IFERROR(SUM(D76:H76)/SUM(D76:O76),0)</f>
        <v>7029</v>
      </c>
      <c r="D76" s="951">
        <f>'lokale energieproductie'!C8</f>
        <v>8269.4117647058829</v>
      </c>
      <c r="E76" s="952">
        <f>'lokale energieproductie'!D8</f>
        <v>0</v>
      </c>
      <c r="F76" s="952">
        <f>'lokale energieproductie'!E8</f>
        <v>0</v>
      </c>
      <c r="G76" s="952">
        <f>'lokale energieproductie'!F8</f>
        <v>0</v>
      </c>
      <c r="H76" s="952">
        <f>'lokale energieproductie'!G8</f>
        <v>0</v>
      </c>
      <c r="I76" s="952">
        <f>'lokale energieproductie'!I8</f>
        <v>0</v>
      </c>
      <c r="J76" s="952">
        <f>'lokale energieproductie'!J8</f>
        <v>51.35294117647058</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1670.4211764705885</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13543.807904167532</v>
      </c>
      <c r="C78" s="683">
        <f>SUM(C72:C77)</f>
        <v>7029</v>
      </c>
      <c r="D78" s="684">
        <f t="shared" ref="D78:H78" si="10">SUM(D76:D77)</f>
        <v>8269.4117647058829</v>
      </c>
      <c r="E78" s="684">
        <f t="shared" si="10"/>
        <v>0</v>
      </c>
      <c r="F78" s="684">
        <f t="shared" si="10"/>
        <v>0</v>
      </c>
      <c r="G78" s="684">
        <f t="shared" si="10"/>
        <v>0</v>
      </c>
      <c r="H78" s="684">
        <f t="shared" si="10"/>
        <v>0</v>
      </c>
      <c r="I78" s="684">
        <f>SUM(I76:I77)</f>
        <v>0</v>
      </c>
      <c r="J78" s="684">
        <f>SUM(J76:J77)</f>
        <v>51.35294117647058</v>
      </c>
      <c r="K78" s="684">
        <f t="shared" ref="K78:L78" si="11">SUM(K76:K77)</f>
        <v>0</v>
      </c>
      <c r="L78" s="684">
        <f t="shared" si="11"/>
        <v>0</v>
      </c>
      <c r="M78" s="684">
        <f>SUM(M76:M77)</f>
        <v>0</v>
      </c>
      <c r="N78" s="684">
        <f>SUM(N76:N77)</f>
        <v>0</v>
      </c>
      <c r="O78" s="787">
        <f>SUM(O76:O77)</f>
        <v>0</v>
      </c>
      <c r="P78" s="685">
        <v>0</v>
      </c>
      <c r="Q78" s="685">
        <f>SUM(Q76:Q77)</f>
        <v>1670.4211764705885</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62.357142857142847</v>
      </c>
      <c r="C87" s="694">
        <f>'lokale energieproductie'!B17*IFERROR(SUM(D87:H87)/SUM(D87:O87),0)</f>
        <v>10041.428571428572</v>
      </c>
      <c r="D87" s="705">
        <f>'lokale energieproductie'!C17</f>
        <v>11813.445378151262</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73.361344537815114</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2386.3159663865549</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62.357142857142847</v>
      </c>
      <c r="C90" s="683">
        <f>SUM(C87:C89)</f>
        <v>10041.428571428572</v>
      </c>
      <c r="D90" s="683">
        <f t="shared" ref="D90:H90" si="12">SUM(D87:D89)</f>
        <v>11813.445378151262</v>
      </c>
      <c r="E90" s="683">
        <f t="shared" si="12"/>
        <v>0</v>
      </c>
      <c r="F90" s="683">
        <f t="shared" si="12"/>
        <v>0</v>
      </c>
      <c r="G90" s="683">
        <f t="shared" si="12"/>
        <v>0</v>
      </c>
      <c r="H90" s="683">
        <f t="shared" si="12"/>
        <v>0</v>
      </c>
      <c r="I90" s="683">
        <f>SUM(I87:I89)</f>
        <v>0</v>
      </c>
      <c r="J90" s="683">
        <f>SUM(J87:J89)</f>
        <v>73.361344537815114</v>
      </c>
      <c r="K90" s="683">
        <f t="shared" ref="K90:L90" si="13">SUM(K87:K89)</f>
        <v>0</v>
      </c>
      <c r="L90" s="683">
        <f t="shared" si="13"/>
        <v>0</v>
      </c>
      <c r="M90" s="683">
        <f>SUM(M87:M89)</f>
        <v>0</v>
      </c>
      <c r="N90" s="683">
        <f>SUM(N87:N89)</f>
        <v>0</v>
      </c>
      <c r="O90" s="683">
        <f>SUM(O87:O89)</f>
        <v>0</v>
      </c>
      <c r="P90" s="683">
        <v>0</v>
      </c>
      <c r="Q90" s="683">
        <f>SUM(Q87:Q89)</f>
        <v>2386.3159663865549</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41472.818812541533</v>
      </c>
      <c r="C4" s="441">
        <f>huishoudens!C8</f>
        <v>0</v>
      </c>
      <c r="D4" s="441">
        <f>huishoudens!D8</f>
        <v>69775.335266648006</v>
      </c>
      <c r="E4" s="441">
        <f>huishoudens!E8</f>
        <v>2002.6210822262212</v>
      </c>
      <c r="F4" s="441">
        <f>huishoudens!F8</f>
        <v>54447.303294349564</v>
      </c>
      <c r="G4" s="441">
        <f>huishoudens!G8</f>
        <v>0</v>
      </c>
      <c r="H4" s="441">
        <f>huishoudens!H8</f>
        <v>0</v>
      </c>
      <c r="I4" s="441">
        <f>huishoudens!I8</f>
        <v>0</v>
      </c>
      <c r="J4" s="441">
        <f>huishoudens!J8</f>
        <v>1004.1055224224482</v>
      </c>
      <c r="K4" s="441">
        <f>huishoudens!K8</f>
        <v>0</v>
      </c>
      <c r="L4" s="441">
        <f>huishoudens!L8</f>
        <v>0</v>
      </c>
      <c r="M4" s="441">
        <f>huishoudens!M8</f>
        <v>0</v>
      </c>
      <c r="N4" s="441">
        <f>huishoudens!N8</f>
        <v>11483.458274228888</v>
      </c>
      <c r="O4" s="441">
        <f>huishoudens!O8</f>
        <v>459.62</v>
      </c>
      <c r="P4" s="442">
        <f>huishoudens!P8</f>
        <v>1792.2666666666667</v>
      </c>
      <c r="Q4" s="443">
        <f>SUM(B4:P4)</f>
        <v>182437.5289190833</v>
      </c>
    </row>
    <row r="5" spans="1:17">
      <c r="A5" s="440" t="s">
        <v>149</v>
      </c>
      <c r="B5" s="441">
        <f ca="1">tertiair!B16</f>
        <v>29100.838465689994</v>
      </c>
      <c r="C5" s="441">
        <f ca="1">tertiair!C16</f>
        <v>192.85714285714286</v>
      </c>
      <c r="D5" s="441">
        <f ca="1">tertiair!D16</f>
        <v>29348.918182356134</v>
      </c>
      <c r="E5" s="441">
        <f>tertiair!E16</f>
        <v>514.77299161411884</v>
      </c>
      <c r="F5" s="441">
        <f ca="1">tertiair!F16</f>
        <v>5976.095965226742</v>
      </c>
      <c r="G5" s="441">
        <f>tertiair!G16</f>
        <v>0</v>
      </c>
      <c r="H5" s="441">
        <f>tertiair!H16</f>
        <v>0</v>
      </c>
      <c r="I5" s="441">
        <f>tertiair!I16</f>
        <v>0</v>
      </c>
      <c r="J5" s="441">
        <f>tertiair!J16</f>
        <v>3.7070589653580802E-2</v>
      </c>
      <c r="K5" s="441">
        <f>tertiair!K16</f>
        <v>0</v>
      </c>
      <c r="L5" s="441">
        <f ca="1">tertiair!L16</f>
        <v>0</v>
      </c>
      <c r="M5" s="441">
        <f>tertiair!M16</f>
        <v>0</v>
      </c>
      <c r="N5" s="441">
        <f ca="1">tertiair!N16</f>
        <v>1334.5162017576854</v>
      </c>
      <c r="O5" s="441">
        <f>tertiair!O16</f>
        <v>1.5633333333333335</v>
      </c>
      <c r="P5" s="442">
        <f>tertiair!P16</f>
        <v>19.066666666666666</v>
      </c>
      <c r="Q5" s="440">
        <f t="shared" ref="Q5:Q14" ca="1" si="0">SUM(B5:P5)</f>
        <v>66488.666020091478</v>
      </c>
    </row>
    <row r="6" spans="1:17">
      <c r="A6" s="440" t="s">
        <v>187</v>
      </c>
      <c r="B6" s="441">
        <f>'openbare verlichting'!B8</f>
        <v>1709.807</v>
      </c>
      <c r="C6" s="441"/>
      <c r="D6" s="441"/>
      <c r="E6" s="441"/>
      <c r="F6" s="441"/>
      <c r="G6" s="441"/>
      <c r="H6" s="441"/>
      <c r="I6" s="441"/>
      <c r="J6" s="441"/>
      <c r="K6" s="441"/>
      <c r="L6" s="441"/>
      <c r="M6" s="441"/>
      <c r="N6" s="441"/>
      <c r="O6" s="441"/>
      <c r="P6" s="442"/>
      <c r="Q6" s="440">
        <f t="shared" si="0"/>
        <v>1709.807</v>
      </c>
    </row>
    <row r="7" spans="1:17">
      <c r="A7" s="440" t="s">
        <v>105</v>
      </c>
      <c r="B7" s="441">
        <f>landbouw!B8</f>
        <v>10892.013533103</v>
      </c>
      <c r="C7" s="441">
        <f>landbouw!C8</f>
        <v>9910.9285714285706</v>
      </c>
      <c r="D7" s="441">
        <f>landbouw!D8</f>
        <v>33154.625754709909</v>
      </c>
      <c r="E7" s="441">
        <f>landbouw!E8</f>
        <v>215.78015530239088</v>
      </c>
      <c r="F7" s="441">
        <f>landbouw!F8</f>
        <v>39720.101352971345</v>
      </c>
      <c r="G7" s="441">
        <f>landbouw!G8</f>
        <v>0</v>
      </c>
      <c r="H7" s="441">
        <f>landbouw!H8</f>
        <v>0</v>
      </c>
      <c r="I7" s="441">
        <f>landbouw!I8</f>
        <v>0</v>
      </c>
      <c r="J7" s="441">
        <f>landbouw!J8</f>
        <v>2586.2028420582083</v>
      </c>
      <c r="K7" s="441">
        <f>landbouw!K8</f>
        <v>0</v>
      </c>
      <c r="L7" s="441">
        <f>landbouw!L8</f>
        <v>0</v>
      </c>
      <c r="M7" s="441">
        <f>landbouw!M8</f>
        <v>0</v>
      </c>
      <c r="N7" s="441">
        <f>landbouw!N8</f>
        <v>0</v>
      </c>
      <c r="O7" s="441">
        <f>landbouw!O8</f>
        <v>0</v>
      </c>
      <c r="P7" s="442">
        <f>landbouw!P8</f>
        <v>0</v>
      </c>
      <c r="Q7" s="440">
        <f t="shared" si="0"/>
        <v>96479.652209573425</v>
      </c>
    </row>
    <row r="8" spans="1:17">
      <c r="A8" s="440" t="s">
        <v>600</v>
      </c>
      <c r="B8" s="441">
        <f>industrie!B18</f>
        <v>7629.7889475699994</v>
      </c>
      <c r="C8" s="441">
        <f>industrie!C18</f>
        <v>0</v>
      </c>
      <c r="D8" s="441">
        <f>industrie!D18</f>
        <v>27324.668579015502</v>
      </c>
      <c r="E8" s="441">
        <f>industrie!E18</f>
        <v>998.43610370069109</v>
      </c>
      <c r="F8" s="441">
        <f>industrie!F18</f>
        <v>3897.9558337905582</v>
      </c>
      <c r="G8" s="441">
        <f>industrie!G18</f>
        <v>0</v>
      </c>
      <c r="H8" s="441">
        <f>industrie!H18</f>
        <v>0</v>
      </c>
      <c r="I8" s="441">
        <f>industrie!I18</f>
        <v>0</v>
      </c>
      <c r="J8" s="441">
        <f>industrie!J18</f>
        <v>20.831175370847774</v>
      </c>
      <c r="K8" s="441">
        <f>industrie!K18</f>
        <v>0</v>
      </c>
      <c r="L8" s="441">
        <f>industrie!L18</f>
        <v>0</v>
      </c>
      <c r="M8" s="441">
        <f>industrie!M18</f>
        <v>0</v>
      </c>
      <c r="N8" s="441">
        <f>industrie!N18</f>
        <v>1247.4329051387886</v>
      </c>
      <c r="O8" s="441">
        <f>industrie!O18</f>
        <v>0</v>
      </c>
      <c r="P8" s="442">
        <f>industrie!P18</f>
        <v>0</v>
      </c>
      <c r="Q8" s="440">
        <f t="shared" si="0"/>
        <v>41119.113544586384</v>
      </c>
    </row>
    <row r="9" spans="1:17" s="446" customFormat="1">
      <c r="A9" s="444" t="s">
        <v>549</v>
      </c>
      <c r="B9" s="445">
        <f>transport!B14</f>
        <v>66.458274452854056</v>
      </c>
      <c r="C9" s="445">
        <f>transport!C14</f>
        <v>0</v>
      </c>
      <c r="D9" s="445">
        <f>transport!D14</f>
        <v>96.769616436912187</v>
      </c>
      <c r="E9" s="445">
        <f>transport!E14</f>
        <v>496.25117753602223</v>
      </c>
      <c r="F9" s="445">
        <f>transport!F14</f>
        <v>0</v>
      </c>
      <c r="G9" s="445">
        <f>transport!G14</f>
        <v>241442.07005116114</v>
      </c>
      <c r="H9" s="445">
        <f>transport!H14</f>
        <v>34422.187537905687</v>
      </c>
      <c r="I9" s="445">
        <f>transport!I14</f>
        <v>0</v>
      </c>
      <c r="J9" s="445">
        <f>transport!J14</f>
        <v>0</v>
      </c>
      <c r="K9" s="445">
        <f>transport!K14</f>
        <v>0</v>
      </c>
      <c r="L9" s="445">
        <f>transport!L14</f>
        <v>0</v>
      </c>
      <c r="M9" s="445">
        <f>transport!M14</f>
        <v>8627.3588470285122</v>
      </c>
      <c r="N9" s="445">
        <f>transport!N14</f>
        <v>0</v>
      </c>
      <c r="O9" s="445">
        <f>transport!O14</f>
        <v>0</v>
      </c>
      <c r="P9" s="445">
        <f>transport!P14</f>
        <v>0</v>
      </c>
      <c r="Q9" s="444">
        <f>SUM(B9:P9)</f>
        <v>285151.0955045211</v>
      </c>
    </row>
    <row r="10" spans="1:17">
      <c r="A10" s="440" t="s">
        <v>539</v>
      </c>
      <c r="B10" s="441">
        <f>transport!B54</f>
        <v>12.52342001272104</v>
      </c>
      <c r="C10" s="441">
        <f>transport!C54</f>
        <v>0</v>
      </c>
      <c r="D10" s="441">
        <f>transport!D54</f>
        <v>0</v>
      </c>
      <c r="E10" s="441">
        <f>transport!E54</f>
        <v>0</v>
      </c>
      <c r="F10" s="441">
        <f>transport!F54</f>
        <v>0</v>
      </c>
      <c r="G10" s="441">
        <f>transport!G54</f>
        <v>2232.9523020095507</v>
      </c>
      <c r="H10" s="441">
        <f>transport!H54</f>
        <v>0</v>
      </c>
      <c r="I10" s="441">
        <f>transport!I54</f>
        <v>0</v>
      </c>
      <c r="J10" s="441">
        <f>transport!J54</f>
        <v>0</v>
      </c>
      <c r="K10" s="441">
        <f>transport!K54</f>
        <v>0</v>
      </c>
      <c r="L10" s="441">
        <f>transport!L54</f>
        <v>0</v>
      </c>
      <c r="M10" s="441">
        <f>transport!M54</f>
        <v>69.704118995899165</v>
      </c>
      <c r="N10" s="441">
        <f>transport!N54</f>
        <v>0</v>
      </c>
      <c r="O10" s="441">
        <f>transport!O54</f>
        <v>0</v>
      </c>
      <c r="P10" s="442">
        <f>transport!P54</f>
        <v>0</v>
      </c>
      <c r="Q10" s="440">
        <f t="shared" si="0"/>
        <v>2315.1798410181709</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1189.0610514</v>
      </c>
      <c r="C14" s="448"/>
      <c r="D14" s="448">
        <f>'SEAP template'!E25</f>
        <v>1601.6982369</v>
      </c>
      <c r="E14" s="448"/>
      <c r="F14" s="448"/>
      <c r="G14" s="448"/>
      <c r="H14" s="448"/>
      <c r="I14" s="448"/>
      <c r="J14" s="448"/>
      <c r="K14" s="448"/>
      <c r="L14" s="448"/>
      <c r="M14" s="448"/>
      <c r="N14" s="448"/>
      <c r="O14" s="448"/>
      <c r="P14" s="449"/>
      <c r="Q14" s="440">
        <f t="shared" si="0"/>
        <v>2790.7592882999998</v>
      </c>
    </row>
    <row r="15" spans="1:17" s="450" customFormat="1">
      <c r="A15" s="956" t="s">
        <v>543</v>
      </c>
      <c r="B15" s="896">
        <f ca="1">SUM(B4:B14)</f>
        <v>92073.309504770106</v>
      </c>
      <c r="C15" s="896">
        <f t="shared" ref="C15:Q15" ca="1" si="1">SUM(C4:C14)</f>
        <v>10103.785714285714</v>
      </c>
      <c r="D15" s="896">
        <f t="shared" ca="1" si="1"/>
        <v>161302.01563606647</v>
      </c>
      <c r="E15" s="896">
        <f t="shared" si="1"/>
        <v>4227.8615103794446</v>
      </c>
      <c r="F15" s="896">
        <f t="shared" ca="1" si="1"/>
        <v>104041.45644633821</v>
      </c>
      <c r="G15" s="896">
        <f t="shared" si="1"/>
        <v>243675.02235317067</v>
      </c>
      <c r="H15" s="896">
        <f t="shared" si="1"/>
        <v>34422.187537905687</v>
      </c>
      <c r="I15" s="896">
        <f t="shared" si="1"/>
        <v>0</v>
      </c>
      <c r="J15" s="896">
        <f t="shared" si="1"/>
        <v>3611.1766104411577</v>
      </c>
      <c r="K15" s="896">
        <f t="shared" si="1"/>
        <v>0</v>
      </c>
      <c r="L15" s="896">
        <f t="shared" ca="1" si="1"/>
        <v>0</v>
      </c>
      <c r="M15" s="896">
        <f t="shared" si="1"/>
        <v>8697.0629660244122</v>
      </c>
      <c r="N15" s="896">
        <f t="shared" ca="1" si="1"/>
        <v>14065.407381125362</v>
      </c>
      <c r="O15" s="896">
        <f t="shared" si="1"/>
        <v>461.18333333333334</v>
      </c>
      <c r="P15" s="896">
        <f t="shared" si="1"/>
        <v>1811.3333333333333</v>
      </c>
      <c r="Q15" s="896">
        <f t="shared" ca="1" si="1"/>
        <v>678491.80232717376</v>
      </c>
    </row>
    <row r="17" spans="1:17">
      <c r="A17" s="451" t="s">
        <v>544</v>
      </c>
      <c r="B17" s="714">
        <f ca="1">huishoudens!B10</f>
        <v>0.18976218107266546</v>
      </c>
      <c r="C17" s="714">
        <f ca="1">huishoudens!C10</f>
        <v>0.23618038167738944</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7869.9725530993528</v>
      </c>
      <c r="C22" s="441">
        <f t="shared" ref="C22:C32" ca="1" si="3">C4*$C$17</f>
        <v>0</v>
      </c>
      <c r="D22" s="441">
        <f t="shared" ref="D22:D32" si="4">D4*$D$17</f>
        <v>14094.617723862899</v>
      </c>
      <c r="E22" s="441">
        <f t="shared" ref="E22:E32" si="5">E4*$E$17</f>
        <v>454.59498566535223</v>
      </c>
      <c r="F22" s="441">
        <f t="shared" ref="F22:F32" si="6">F4*$F$17</f>
        <v>14537.429979591334</v>
      </c>
      <c r="G22" s="441">
        <f t="shared" ref="G22:G32" si="7">G4*$G$17</f>
        <v>0</v>
      </c>
      <c r="H22" s="441">
        <f t="shared" ref="H22:H32" si="8">H4*$H$17</f>
        <v>0</v>
      </c>
      <c r="I22" s="441">
        <f t="shared" ref="I22:I32" si="9">I4*$I$17</f>
        <v>0</v>
      </c>
      <c r="J22" s="441">
        <f t="shared" ref="J22:J32" si="10">J4*$J$17</f>
        <v>355.45335493754664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37312.068597156489</v>
      </c>
    </row>
    <row r="23" spans="1:17">
      <c r="A23" s="440" t="s">
        <v>149</v>
      </c>
      <c r="B23" s="441">
        <f t="shared" ca="1" si="2"/>
        <v>5522.2385782926531</v>
      </c>
      <c r="C23" s="441">
        <f t="shared" ca="1" si="3"/>
        <v>45.549073609210822</v>
      </c>
      <c r="D23" s="441">
        <f t="shared" ca="1" si="4"/>
        <v>5928.4814728359397</v>
      </c>
      <c r="E23" s="441">
        <f t="shared" si="5"/>
        <v>116.85346909640498</v>
      </c>
      <c r="F23" s="441">
        <f t="shared" ca="1" si="6"/>
        <v>1595.6176227155402</v>
      </c>
      <c r="G23" s="441">
        <f t="shared" si="7"/>
        <v>0</v>
      </c>
      <c r="H23" s="441">
        <f t="shared" si="8"/>
        <v>0</v>
      </c>
      <c r="I23" s="441">
        <f t="shared" si="9"/>
        <v>0</v>
      </c>
      <c r="J23" s="441">
        <f t="shared" si="10"/>
        <v>1.3122988737367603E-2</v>
      </c>
      <c r="K23" s="441">
        <f t="shared" si="11"/>
        <v>0</v>
      </c>
      <c r="L23" s="441">
        <f t="shared" ca="1" si="12"/>
        <v>0</v>
      </c>
      <c r="M23" s="441">
        <f t="shared" si="13"/>
        <v>0</v>
      </c>
      <c r="N23" s="441">
        <f t="shared" ca="1" si="14"/>
        <v>0</v>
      </c>
      <c r="O23" s="441">
        <f t="shared" si="15"/>
        <v>0</v>
      </c>
      <c r="P23" s="442">
        <f t="shared" si="16"/>
        <v>0</v>
      </c>
      <c r="Q23" s="440">
        <f t="shared" ref="Q23:Q32" ca="1" si="17">SUM(B23:P23)</f>
        <v>13208.753339538485</v>
      </c>
    </row>
    <row r="24" spans="1:17">
      <c r="A24" s="440" t="s">
        <v>187</v>
      </c>
      <c r="B24" s="441">
        <f t="shared" ca="1" si="2"/>
        <v>324.45670553331092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324.45670553331092</v>
      </c>
    </row>
    <row r="25" spans="1:17">
      <c r="A25" s="440" t="s">
        <v>105</v>
      </c>
      <c r="B25" s="441">
        <f t="shared" ca="1" si="2"/>
        <v>2066.8922443146139</v>
      </c>
      <c r="C25" s="441">
        <f t="shared" ca="1" si="3"/>
        <v>2340.7668927773439</v>
      </c>
      <c r="D25" s="441">
        <f t="shared" si="4"/>
        <v>6697.2344024514023</v>
      </c>
      <c r="E25" s="441">
        <f t="shared" si="5"/>
        <v>48.982095253642733</v>
      </c>
      <c r="F25" s="441">
        <f t="shared" si="6"/>
        <v>10605.26706124335</v>
      </c>
      <c r="G25" s="441">
        <f t="shared" si="7"/>
        <v>0</v>
      </c>
      <c r="H25" s="441">
        <f t="shared" si="8"/>
        <v>0</v>
      </c>
      <c r="I25" s="441">
        <f t="shared" si="9"/>
        <v>0</v>
      </c>
      <c r="J25" s="441">
        <f t="shared" si="10"/>
        <v>915.5158060886057</v>
      </c>
      <c r="K25" s="441">
        <f t="shared" si="11"/>
        <v>0</v>
      </c>
      <c r="L25" s="441">
        <f t="shared" si="12"/>
        <v>0</v>
      </c>
      <c r="M25" s="441">
        <f t="shared" si="13"/>
        <v>0</v>
      </c>
      <c r="N25" s="441">
        <f t="shared" si="14"/>
        <v>0</v>
      </c>
      <c r="O25" s="441">
        <f t="shared" si="15"/>
        <v>0</v>
      </c>
      <c r="P25" s="442">
        <f t="shared" si="16"/>
        <v>0</v>
      </c>
      <c r="Q25" s="440">
        <f t="shared" ca="1" si="17"/>
        <v>22674.658502128961</v>
      </c>
    </row>
    <row r="26" spans="1:17">
      <c r="A26" s="440" t="s">
        <v>600</v>
      </c>
      <c r="B26" s="441">
        <f t="shared" ca="1" si="2"/>
        <v>1447.8453918149999</v>
      </c>
      <c r="C26" s="441">
        <f t="shared" ca="1" si="3"/>
        <v>0</v>
      </c>
      <c r="D26" s="441">
        <f t="shared" si="4"/>
        <v>5519.5830529611321</v>
      </c>
      <c r="E26" s="441">
        <f t="shared" si="5"/>
        <v>226.6449955400569</v>
      </c>
      <c r="F26" s="441">
        <f t="shared" si="6"/>
        <v>1040.7542076220791</v>
      </c>
      <c r="G26" s="441">
        <f t="shared" si="7"/>
        <v>0</v>
      </c>
      <c r="H26" s="441">
        <f t="shared" si="8"/>
        <v>0</v>
      </c>
      <c r="I26" s="441">
        <f t="shared" si="9"/>
        <v>0</v>
      </c>
      <c r="J26" s="441">
        <f t="shared" si="10"/>
        <v>7.3742360812801113</v>
      </c>
      <c r="K26" s="441">
        <f t="shared" si="11"/>
        <v>0</v>
      </c>
      <c r="L26" s="441">
        <f t="shared" si="12"/>
        <v>0</v>
      </c>
      <c r="M26" s="441">
        <f t="shared" si="13"/>
        <v>0</v>
      </c>
      <c r="N26" s="441">
        <f t="shared" si="14"/>
        <v>0</v>
      </c>
      <c r="O26" s="441">
        <f t="shared" si="15"/>
        <v>0</v>
      </c>
      <c r="P26" s="442">
        <f t="shared" si="16"/>
        <v>0</v>
      </c>
      <c r="Q26" s="440">
        <f t="shared" ca="1" si="17"/>
        <v>8242.2018840195469</v>
      </c>
    </row>
    <row r="27" spans="1:17" s="446" customFormat="1">
      <c r="A27" s="444" t="s">
        <v>549</v>
      </c>
      <c r="B27" s="708">
        <f t="shared" ca="1" si="2"/>
        <v>12.611267110499389</v>
      </c>
      <c r="C27" s="445">
        <f t="shared" ca="1" si="3"/>
        <v>0</v>
      </c>
      <c r="D27" s="445">
        <f t="shared" si="4"/>
        <v>19.547462520256264</v>
      </c>
      <c r="E27" s="445">
        <f t="shared" si="5"/>
        <v>112.64901730067704</v>
      </c>
      <c r="F27" s="445">
        <f t="shared" si="6"/>
        <v>0</v>
      </c>
      <c r="G27" s="445">
        <f t="shared" si="7"/>
        <v>64465.032703660028</v>
      </c>
      <c r="H27" s="445">
        <f t="shared" si="8"/>
        <v>8571.1246969385156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73180.965147529976</v>
      </c>
    </row>
    <row r="28" spans="1:17">
      <c r="A28" s="440" t="s">
        <v>539</v>
      </c>
      <c r="B28" s="441">
        <f t="shared" ca="1" si="2"/>
        <v>2.3764714961030124</v>
      </c>
      <c r="C28" s="441">
        <f t="shared" ca="1" si="3"/>
        <v>0</v>
      </c>
      <c r="D28" s="441">
        <f t="shared" si="4"/>
        <v>0</v>
      </c>
      <c r="E28" s="441">
        <f t="shared" si="5"/>
        <v>0</v>
      </c>
      <c r="F28" s="441">
        <f t="shared" si="6"/>
        <v>0</v>
      </c>
      <c r="G28" s="441">
        <f t="shared" si="7"/>
        <v>596.19826463655011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598.57473613265313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225.63881854222078</v>
      </c>
      <c r="C32" s="441">
        <f t="shared" ca="1" si="3"/>
        <v>0</v>
      </c>
      <c r="D32" s="441">
        <f t="shared" si="4"/>
        <v>323.54304385380004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549.18186239602085</v>
      </c>
    </row>
    <row r="33" spans="1:17" s="450" customFormat="1">
      <c r="A33" s="956" t="s">
        <v>543</v>
      </c>
      <c r="B33" s="896">
        <f ca="1">SUM(B22:B32)</f>
        <v>17472.032030203758</v>
      </c>
      <c r="C33" s="896">
        <f t="shared" ref="C33:Q33" ca="1" si="18">SUM(C22:C32)</f>
        <v>2386.3159663865545</v>
      </c>
      <c r="D33" s="896">
        <f t="shared" ca="1" si="18"/>
        <v>32583.007158485427</v>
      </c>
      <c r="E33" s="896">
        <f t="shared" si="18"/>
        <v>959.72456285613384</v>
      </c>
      <c r="F33" s="896">
        <f t="shared" ca="1" si="18"/>
        <v>27779.068871172301</v>
      </c>
      <c r="G33" s="896">
        <f t="shared" si="18"/>
        <v>65061.230968296579</v>
      </c>
      <c r="H33" s="896">
        <f t="shared" si="18"/>
        <v>8571.1246969385156</v>
      </c>
      <c r="I33" s="896">
        <f t="shared" si="18"/>
        <v>0</v>
      </c>
      <c r="J33" s="896">
        <f t="shared" si="18"/>
        <v>1278.3565200961698</v>
      </c>
      <c r="K33" s="896">
        <f t="shared" si="18"/>
        <v>0</v>
      </c>
      <c r="L33" s="896">
        <f t="shared" ca="1" si="18"/>
        <v>0</v>
      </c>
      <c r="M33" s="896">
        <f t="shared" si="18"/>
        <v>0</v>
      </c>
      <c r="N33" s="896">
        <f t="shared" ca="1" si="18"/>
        <v>0</v>
      </c>
      <c r="O33" s="896">
        <f t="shared" si="18"/>
        <v>0</v>
      </c>
      <c r="P33" s="896">
        <f t="shared" si="18"/>
        <v>0</v>
      </c>
      <c r="Q33" s="896">
        <f t="shared" ca="1" si="18"/>
        <v>156090.86077443545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7231.7903095915208</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6268.3675945760115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43.649999999999991</v>
      </c>
      <c r="C8" s="973">
        <f>'SEAP template'!C76</f>
        <v>7029</v>
      </c>
      <c r="D8" s="973">
        <f>'SEAP template'!D76</f>
        <v>8269.4117647058829</v>
      </c>
      <c r="E8" s="973">
        <f>'SEAP template'!E76</f>
        <v>0</v>
      </c>
      <c r="F8" s="973">
        <f>'SEAP template'!F76</f>
        <v>0</v>
      </c>
      <c r="G8" s="973">
        <f>'SEAP template'!G76</f>
        <v>0</v>
      </c>
      <c r="H8" s="973">
        <f>'SEAP template'!H76</f>
        <v>0</v>
      </c>
      <c r="I8" s="973">
        <f>'SEAP template'!I76</f>
        <v>0</v>
      </c>
      <c r="J8" s="973">
        <f>'SEAP template'!J76</f>
        <v>51.35294117647058</v>
      </c>
      <c r="K8" s="973">
        <f>'SEAP template'!K76</f>
        <v>0</v>
      </c>
      <c r="L8" s="973">
        <f>'SEAP template'!L76</f>
        <v>0</v>
      </c>
      <c r="M8" s="973">
        <f>'SEAP template'!M76</f>
        <v>0</v>
      </c>
      <c r="N8" s="973">
        <f>'SEAP template'!N76</f>
        <v>0</v>
      </c>
      <c r="O8" s="973">
        <f>'SEAP template'!O76</f>
        <v>0</v>
      </c>
      <c r="P8" s="974">
        <f>'SEAP template'!Q76</f>
        <v>1670.4211764705885</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13543.807904167532</v>
      </c>
      <c r="C10" s="977">
        <f>SUM(C4:C9)</f>
        <v>7029</v>
      </c>
      <c r="D10" s="977">
        <f t="shared" ref="D10:H10" si="0">SUM(D8:D9)</f>
        <v>8269.4117647058829</v>
      </c>
      <c r="E10" s="977">
        <f t="shared" si="0"/>
        <v>0</v>
      </c>
      <c r="F10" s="977">
        <f t="shared" si="0"/>
        <v>0</v>
      </c>
      <c r="G10" s="977">
        <f t="shared" si="0"/>
        <v>0</v>
      </c>
      <c r="H10" s="977">
        <f t="shared" si="0"/>
        <v>0</v>
      </c>
      <c r="I10" s="977">
        <f>SUM(I8:I9)</f>
        <v>0</v>
      </c>
      <c r="J10" s="977">
        <f>SUM(J8:J9)</f>
        <v>51.35294117647058</v>
      </c>
      <c r="K10" s="977">
        <f t="shared" ref="K10:L10" si="1">SUM(K8:K9)</f>
        <v>0</v>
      </c>
      <c r="L10" s="977">
        <f t="shared" si="1"/>
        <v>0</v>
      </c>
      <c r="M10" s="977">
        <f>SUM(M8:M9)</f>
        <v>0</v>
      </c>
      <c r="N10" s="977">
        <f>SUM(N8:N9)</f>
        <v>0</v>
      </c>
      <c r="O10" s="977">
        <f>SUM(O8:O9)</f>
        <v>0</v>
      </c>
      <c r="P10" s="977">
        <f>SUM(P8:P9)</f>
        <v>1670.4211764705885</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0.18976218107266546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62.357142857142847</v>
      </c>
      <c r="C17" s="979">
        <f>'SEAP template'!C87</f>
        <v>10041.428571428572</v>
      </c>
      <c r="D17" s="974">
        <f>'SEAP template'!D87</f>
        <v>11813.445378151262</v>
      </c>
      <c r="E17" s="974">
        <f>'SEAP template'!E87</f>
        <v>0</v>
      </c>
      <c r="F17" s="974">
        <f>'SEAP template'!F87</f>
        <v>0</v>
      </c>
      <c r="G17" s="974">
        <f>'SEAP template'!G87</f>
        <v>0</v>
      </c>
      <c r="H17" s="974">
        <f>'SEAP template'!H87</f>
        <v>0</v>
      </c>
      <c r="I17" s="974">
        <f>'SEAP template'!I87</f>
        <v>0</v>
      </c>
      <c r="J17" s="974">
        <f>'SEAP template'!J87</f>
        <v>73.361344537815114</v>
      </c>
      <c r="K17" s="974">
        <f>'SEAP template'!K87</f>
        <v>0</v>
      </c>
      <c r="L17" s="974">
        <f>'SEAP template'!L87</f>
        <v>0</v>
      </c>
      <c r="M17" s="974">
        <f>'SEAP template'!M87</f>
        <v>0</v>
      </c>
      <c r="N17" s="974">
        <f>'SEAP template'!N87</f>
        <v>0</v>
      </c>
      <c r="O17" s="974">
        <f>'SEAP template'!O87</f>
        <v>0</v>
      </c>
      <c r="P17" s="974">
        <f>'SEAP template'!Q87</f>
        <v>2386.3159663865549</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62.357142857142847</v>
      </c>
      <c r="C20" s="977">
        <f>SUM(C17:C19)</f>
        <v>10041.428571428572</v>
      </c>
      <c r="D20" s="977">
        <f t="shared" ref="D20:H20" si="2">SUM(D17:D19)</f>
        <v>11813.445378151262</v>
      </c>
      <c r="E20" s="977">
        <f t="shared" si="2"/>
        <v>0</v>
      </c>
      <c r="F20" s="977">
        <f t="shared" si="2"/>
        <v>0</v>
      </c>
      <c r="G20" s="977">
        <f t="shared" si="2"/>
        <v>0</v>
      </c>
      <c r="H20" s="977">
        <f t="shared" si="2"/>
        <v>0</v>
      </c>
      <c r="I20" s="977">
        <f>SUM(I17:I19)</f>
        <v>0</v>
      </c>
      <c r="J20" s="977">
        <f>SUM(J17:J19)</f>
        <v>73.361344537815114</v>
      </c>
      <c r="K20" s="977">
        <f t="shared" ref="K20:L20" si="3">SUM(K17:K19)</f>
        <v>0</v>
      </c>
      <c r="L20" s="977">
        <f t="shared" si="3"/>
        <v>0</v>
      </c>
      <c r="M20" s="977">
        <f>SUM(M17:M19)</f>
        <v>0</v>
      </c>
      <c r="N20" s="977">
        <f>SUM(N17:N19)</f>
        <v>0</v>
      </c>
      <c r="O20" s="977">
        <f>SUM(O17:O19)</f>
        <v>0</v>
      </c>
      <c r="P20" s="977">
        <f>SUM(P17:P19)</f>
        <v>2386.3159663865549</v>
      </c>
    </row>
    <row r="22" spans="1:16">
      <c r="A22" s="451" t="s">
        <v>811</v>
      </c>
      <c r="B22" s="714" t="s">
        <v>805</v>
      </c>
      <c r="C22" s="714">
        <f ca="1">'EF ele_warmte'!B22</f>
        <v>0.23618038167738944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0.18976218107266546</v>
      </c>
      <c r="C17" s="488">
        <f ca="1">'EF ele_warmte'!B22</f>
        <v>0.23618038167738944</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2022-07-26T11:15:45Z</dcterms:modified>
</cp:coreProperties>
</file>