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7F8B8845-B965-44F7-BEF9-5440FCAAAB98}"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<sst xmlns="http://schemas.openxmlformats.org/spreadsheetml/2006/main" count="2411" uniqueCount="890">
  <si>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</si>
  <si>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</si>
  <si>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</si>
  <si>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</si>
  <si>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</si>
  <si>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</si>
  <si>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</si>
  <si>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</si>
  <si>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</si>
  <si>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</si>
  <si>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</si>
  <si>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</si>
  <si>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</si>
  <si>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</si>
  <si>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</si>
  <si>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</si>
  <si>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</si>
  <si>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</si>
  <si>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</si>
  <si>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</si>
  <si>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</si>
  <si>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</si>
  <si>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</si>
  <si>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</si>
  <si>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</si>
  <si>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</si>
  <si>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</si>
  <si>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</si>
  <si>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</si>
  <si>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</si>
  <si>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</si>
  <si>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</si>
  <si>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</si>
  <si>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</si>
  <si>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</si>
  <si>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</si>
  <si>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</si>
  <si>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</si>
  <si>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</si>
  <si>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</si>
  <si>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</si>
  <si>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</si>
  <si>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</si>
  <si>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</si>
  <si>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</si>
  <si>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</si>
  <si>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</si>
  <si>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</si>
  <si>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</si>
  <si>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</si>
  <si>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</si>
  <si>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</si>
  <si>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</si>
  <si>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</si>
  <si>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</si>
  <si>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</si>
  <si>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</si>
  <si>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</si>
  <si>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</si>
  <si>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</si>
  <si>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</si>
  <si>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</si>
  <si>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</si>
  <si>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</si>
  <si>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</si>
  <si>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</si>
  <si>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</si>
  <si>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</si>
  <si>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</si>
  <si>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</si>
  <si>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</si>
  <si>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</si>
  <si>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</si>
  <si>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</si>
  <si>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</si>
  <si>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</si>
  <si>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</si>
  <si>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</si>
  <si>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</si>
  <si>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</si>
  <si>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</si>
  <si>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</si>
  <si>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</si>
  <si>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</si>
  <si>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</si>
  <si>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</si>
  <si>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</si>
  <si>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</si>
  <si>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</si>
  <si>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</si>
  <si>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</si>
  <si>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</si>
  <si>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</si>
  <si>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</si>
  <si>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</si>
  <si>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</si>
  <si>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</si>
  <si>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</si>
  <si>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</si>
  <si>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</si>
  <si>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</si>
  <si>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</si>
  <si>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</si>
  <si>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</si>
  <si>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</si>
  <si>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</si>
  <si>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</si>
  <si>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</si>
  <si>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</si>
  <si>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</si>
  <si>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</si>
  <si>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</si>
  <si>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</si>
  <si>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</si>
  <si>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</si>
  <si>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</si>
  <si>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</si>
  <si>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</si>
  <si>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</si>
  <si>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</si>
  <si>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</si>
  <si>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</si>
  <si>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</si>
  <si>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</si>
  <si>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</si>
  <si>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</si>
  <si>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</si>
  <si>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</si>
  <si>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</si>
  <si>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</si>
  <si>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</si>
  <si>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</si>
  <si>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</si>
  <si>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</si>
  <si>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</si>
  <si>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</si>
  <si>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</si>
  <si>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</si>
  <si>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</si>
  <si>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</si>
  <si>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</si>
  <si>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</si>
  <si>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</si>
  <si>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</si>
  <si>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</si>
  <si>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</si>
  <si>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</si>
  <si>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</si>
  <si>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</si>
  <si>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</si>
  <si>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</si>
  <si>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</si>
  <si>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</si>
  <si>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</si>
  <si>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</si>
  <si>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</si>
  <si>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</si>
  <si>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</si>
  <si>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</si>
  <si>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</si>
  <si>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</si>
  <si>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</si>
  <si>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</si>
  <si>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</si>
  <si>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</si>
  <si>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</si>
  <si>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</si>
  <si>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</si>
  <si>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</si>
  <si>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</si>
  <si>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</si>
  <si>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</si>
  <si>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</si>
  <si>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</si>
  <si>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</si>
  <si>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</si>
  <si>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</si>
  <si>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</si>
  <si>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</si>
  <si>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</si>
  <si>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</si>
  <si>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</si>
  <si>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</si>
  <si>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</si>
  <si>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</si>
  <si>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</si>
  <si>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</si>
  <si>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</si>
  <si>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</si>
  <si>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</si>
  <si>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</si>
  <si>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</si>
  <si>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</si>
  <si>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</si>
  <si>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</si>
  <si>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</si>
  <si>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</si>
  <si>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</si>
  <si>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</si>
  <si>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</si>
  <si>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</si>
  <si>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</si>
  <si>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</si>
  <si>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</si>
  <si>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</si>
  <si>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</si>
  <si>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</si>
  <si>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</si>
  <si>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</si>
  <si>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</si>
  <si>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</si>
  <si>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</si>
  <si>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</si>
  <si>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</si>
  <si>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</si>
  <si>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</si>
  <si>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</si>
  <si>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</si>
  <si>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</si>
  <si>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</si>
  <si>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</si>
  <si>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</si>
  <si>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</si>
  <si>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</si>
  <si>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</si>
  <si>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</si>
  <si>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</si>
  <si>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</si>
  <si>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</si>
  <si>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</si>
  <si>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</si>
  <si>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</si>
  <si>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</si>
  <si>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</si>
  <si>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</si>
  <si>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</si>
  <si>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</si>
  <si>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</si>
  <si>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</si>
  <si>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</si>
  <si>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</si>
  <si>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</si>
  <si>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</si>
  <si>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</si>
  <si>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</si>
  <si>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</si>
  <si>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</si>
  <si>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</si>
  <si>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</si>
  <si>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</si>
  <si>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</si>
  <si>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</si>
  <si>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</si>
  <si>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</si>
  <si>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</si>
  <si>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</si>
  <si>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</si>
  <si>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</si>
  <si>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</si>
  <si>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</si>
  <si>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</si>
  <si>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</si>
  <si>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</si>
  <si>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</si>
  <si>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</si>
  <si>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</si>
  <si>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</si>
  <si>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</si>
  <si>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</si>
  <si>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</si>
  <si>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</si>
  <si>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</si>
  <si>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</si>
  <si>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</si>
  <si>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</si>
  <si>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</si>
  <si>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</si>
  <si>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</si>
  <si>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</si>
  <si>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</si>
  <si>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</si>
  <si>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</si>
  <si>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</si>
  <si>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</si>
  <si>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</si>
  <si>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</si>
  <si>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</si>
  <si>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</si>
  <si>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</si>
  <si>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</si>
  <si>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</si>
  <si>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</si>
  <si>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</si>
  <si>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</si>
  <si>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</si>
  <si>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</si>
  <si>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</si>
  <si>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</si>
  <si>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</si>
  <si>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</si>
  <si>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</si>
  <si>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</si>
  <si>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</si>
  <si>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</si>
  <si>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</si>
  <si>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</si>
  <si>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</si>
  <si>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</si>
  <si>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</si>
  <si>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</si>
  <si>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</si>
  <si>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</si>
  <si>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</si>
  <si>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</si>
  <si>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</si>
  <si>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</si>
  <si>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</si>
  <si>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</si>
  <si>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</si>
  <si>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</si>
  <si>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</si>
  <si>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</si>
  <si>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</si>
  <si>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</si>
  <si>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</si>
  <si>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</si>
  <si>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</si>
  <si>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</si>
  <si>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</si>
  <si>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</si>
  <si>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</si>
  <si>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</si>
  <si>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</si>
  <si>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</si>
  <si>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</si>
  <si>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</si>
  <si>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</si>
  <si>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</si>
  <si>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</si>
  <si>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</si>
  <si>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</si>
  <si>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</si>
  <si>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</si>
  <si>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</si>
  <si>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</si>
  <si>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</si>
  <si>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</si>
  <si>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</si>
  <si>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</si>
  <si>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</si>
  <si>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</si>
  <si>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</si>
  <si>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</si>
  <si>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</si>
  <si>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</si>
  <si>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</si>
  <si>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</si>
  <si>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</si>
  <si>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</si>
  <si>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</si>
  <si>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</si>
  <si>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</si>
  <si>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</si>
  <si>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</si>
  <si>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</si>
  <si>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</si>
  <si>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</si>
  <si>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</si>
  <si>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</si>
  <si>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</si>
  <si>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</si>
  <si>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</si>
  <si>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</si>
  <si>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</si>
  <si>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</si>
  <si>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</si>
  <si>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</si>
  <si>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</si>
  <si>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</si>
  <si>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</si>
  <si>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</si>
  <si>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</si>
  <si>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</si>
  <si>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</si>
  <si>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</si>
  <si>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</si>
  <si>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</si>
  <si>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</si>
  <si>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</si>
  <si>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</si>
  <si>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</si>
  <si>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</si>
  <si>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</si>
  <si>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</si>
  <si>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</si>
  <si>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</si>
  <si>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</si>
  <si>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</si>
  <si>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</si>
  <si>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</si>
  <si>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</si>
  <si>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</si>
  <si>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</si>
  <si>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</si>
  <si>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</si>
  <si>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</si>
  <si>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</si>
  <si>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</si>
  <si>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</si>
  <si>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</si>
  <si>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</si>
  <si>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</si>
  <si>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</si>
  <si>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</si>
  <si>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</si>
  <si>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</si>
  <si>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</si>
  <si>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</si>
  <si>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</si>
  <si>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</si>
  <si>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</si>
  <si>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</si>
  <si>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</si>
  <si>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</si>
  <si>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</si>
  <si>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</si>
  <si>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</si>
  <si>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</si>
  <si>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</si>
  <si>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</si>
  <si>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</si>
  <si>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</si>
  <si>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</si>
  <si>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</si>
  <si>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</si>
  <si>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</si>
  <si>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</si>
  <si>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</si>
  <si>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</si>
  <si>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</si>
  <si>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</si>
  <si>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</si>
  <si>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</si>
  <si>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</si>
  <si>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</si>
  <si>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</si>
  <si>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</si>
  <si>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</si>
  <si>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</si>
  <si>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</si>
  <si>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</si>
  <si>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</si>
  <si>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</si>
  <si>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</si>
  <si>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</si>
  <si>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</si>
  <si>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</si>
  <si>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</si>
  <si>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</si>
  <si>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</si>
  <si>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</si>
  <si>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</si>
  <si>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</si>
  <si>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</si>
  <si>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</si>
  <si>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</si>
  <si>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</si>
  <si>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</si>
  <si>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</si>
  <si>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</si>
  <si>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</si>
  <si>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</si>
  <si>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</si>
  <si>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</si>
  <si>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</si>
  <si>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</si>
  <si>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</si>
  <si>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</si>
  <si>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</si>
  <si>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</si>
  <si>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</si>
  <si>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</si>
  <si>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</si>
  <si>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</si>
  <si>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</si>
  <si>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</si>
  <si>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</si>
  <si>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</si>
  <si>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</si>
  <si>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</si>
  <si>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</si>
  <si>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</si>
  <si>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</si>
  <si>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</si>
  <si>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</si>
  <si>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</si>
  <si>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</si>
  <si>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</si>
  <si>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</si>
  <si>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</si>
  <si>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</si>
  <si>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</si>
  <si>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</si>
  <si>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</si>
  <si>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</si>
  <si>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</si>
  <si>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</si>
  <si>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</si>
  <si>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</si>
  <si>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</si>
  <si>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</si>
  <si>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</si>
  <si>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</si>
  <si>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</si>
  <si>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</si>
  <si>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</si>
  <si>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</si>
  <si>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</si>
  <si>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</si>
  <si>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</si>
  <si>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</si>
  <si>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</si>
  <si>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</si>
  <si>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</si>
  <si>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</si>
  <si>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</si>
  <si>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</si>
  <si>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</si>
  <si>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</si>
  <si>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</si>
  <si>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</si>
  <si>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</si>
  <si>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</si>
  <si>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</si>
  <si>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</si>
  <si>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</si>
  <si>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</si>
  <si>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</si>
  <si>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</si>
  <si>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</si>
  <si>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</si>
  <si>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</si>
  <si>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</si>
  <si>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</si>
  <si>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</si>
  <si>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</si>
  <si>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</si>
  <si>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</si>
  <si>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</si>
  <si>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</si>
  <si>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</si>
  <si>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</si>
  <si>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</si>
  <si>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</si>
  <si>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</si>
  <si>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</si>
  <si>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</si>
  <si>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</si>
  <si>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</si>
  <si>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</si>
  <si>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</si>
  <si>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</si>
  <si>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</si>
  <si>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</si>
  <si>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</si>
  <si>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</si>
  <si>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</si>
  <si>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</si>
  <si>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</si>
  <si>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</si>
  <si>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</si>
  <si>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</si>
  <si>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</si>
  <si>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</si>
  <si>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</si>
  <si>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</si>
  <si>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</si>
  <si>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</si>
  <si>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</si>
  <si>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</si>
  <si>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</si>
  <si>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</si>
  <si>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</si>
  <si>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</si>
  <si>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</si>
  <si>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</si>
  <si>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</si>
  <si>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</si>
  <si>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</si>
  <si>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</si>
  <si>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</si>
  <si>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</si>
  <si>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</si>
  <si>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</si>
  <si>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</si>
  <si>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</si>
  <si>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</si>
  <si>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</si>
  <si>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</si>
  <si>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</si>
  <si>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</si>
  <si>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</si>
  <si>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</si>
  <si>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</si>
  <si>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</si>
  <si>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</si>
  <si>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</si>
  <si>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</si>
  <si>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</si>
  <si>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</si>
  <si>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</si>
  <si>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</si>
  <si>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</si>
  <si>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</si>
  <si>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</si>
  <si>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</si>
  <si>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</si>
  <si>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</si>
  <si>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</si>
  <si>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</si>
  <si>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</si>
  <si>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</si>
  <si>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</si>
  <si>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</si>
  <si>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</si>
  <si>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</si>
  <si>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</si>
  <si>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</si>
  <si>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</si>
  <si>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</si>
  <si>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</si>
  <si>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</si>
  <si>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</si>
  <si>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</si>
  <si>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</si>
  <si>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</si>
  <si>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</si>
  <si>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</si>
  <si>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</si>
  <si>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</si>
  <si>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</si>
  <si>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</si>
  <si>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</si>
  <si>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</si>
  <si>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</si>
  <si>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</si>
  <si>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</si>
  <si>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</si>
  <si>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</si>
  <si>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</si>
  <si>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</si>
  <si>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</si>
  <si>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</si>
  <si>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</si>
  <si>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</si>
  <si>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</si>
  <si>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</si>
  <si>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</si>
  <si>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</si>
  <si>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</si>
  <si>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</si>
  <si>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</si>
  <si>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</si>
  <si>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</si>
  <si>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</si>
  <si>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</si>
  <si>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</si>
  <si>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</si>
  <si>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</si>
  <si>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</si>
  <si>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</si>
  <si>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</si>
  <si>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</si>
  <si>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</si>
  <si>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</si>
  <si>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</si>
  <si>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</si>
  <si>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</si>
  <si>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</si>
  <si>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</si>
  <si>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</si>
  <si>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</si>
  <si>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</si>
  <si>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</si>
  <si>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</si>
  <si>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</si>
  <si>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</si>
  <si>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</si>
  <si>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</si>
  <si>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</si>
  <si>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</si>
  <si>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</si>
  <si>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</si>
  <si>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</si>
  <si>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</si>
  <si>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</si>
  <si>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</si>
  <si>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</si>
  <si>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</si>
  <si>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</si>
  <si>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</si>
  <si>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</si>
  <si>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</si>
  <si>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</si>
  <si>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</si>
  <si>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</si>
  <si>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</si>
  <si>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</si>
  <si>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</si>
  <si>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</si>
  <si>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</si>
  <si>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</si>
  <si>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</si>
  <si>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</si>
  <si>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</si>
  <si>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</si>
  <si>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</si>
  <si>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</si>
  <si>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</si>
  <si>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</si>
  <si>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</si>
  <si>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</si>
  <si>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</si>
  <si>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</si>
  <si>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</si>
  <si>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</si>
  <si>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</si>
  <si>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</si>
  <si>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</si>
  <si>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</si>
  <si>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</si>
  <si>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</si>
  <si>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</si>
  <si>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</si>
  <si>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</si>
  <si>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</si>
  <si>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</si>
  <si>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</si>
  <si>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</si>
  <si>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</si>
  <si>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</si>
  <si>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</si>
  <si>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</si>
  <si>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</si>
  <si>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</si>
  <si>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</si>
  <si>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</si>
  <si>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</si>
  <si>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</si>
  <si>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</si>
  <si>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</si>
  <si>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</si>
  <si>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</si>
  <si>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</si>
  <si>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</si>
  <si>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</si>
  <si>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</si>
  <si>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</si>
  <si>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</si>
  <si>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</si>
  <si>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</si>
  <si>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</si>
  <si>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</si>
  <si>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</si>
  <si>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</si>
  <si>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</si>
  <si>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</si>
  <si>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</si>
  <si>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</si>
  <si>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</si>
  <si>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</si>
  <si>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</si>
  <si>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</si>
  <si>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</si>
  <si>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</si>
  <si>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</si>
  <si>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</si>
  <si>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</si>
  <si>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</si>
  <si>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</si>
  <si>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</si>
  <si>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</si>
  <si>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</si>
  <si>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</si>
  <si>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</si>
  <si>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</si>
  <si>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</si>
  <si>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</si>
  <si>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</si>
  <si>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</si>
  <si>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</si>
  <si>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</si>
  <si>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</si>
  <si>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</si>
  <si>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</si>
  <si>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</si>
  <si>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</si>
  <si>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</si>
  <si>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</si>
  <si>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</si>
  <si>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</si>
  <si>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</si>
  <si>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</si>
  <si>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</si>
  <si>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</si>
  <si>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</si>
  <si>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</si>
  <si>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</si>
  <si>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</si>
  <si>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</si>
  <si>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</si>
  <si>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</si>
  <si>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</si>
  <si>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</si>
  <si>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</si>
  <si>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</si>
  <si>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</si>
  <si>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</si>
  <si>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</si>
  <si>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</si>
  <si>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</si>
  <si>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</si>
  <si>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</si>
  <si>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</si>
  <si>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</si>
  <si>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</si>
  <si>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</si>
  <si>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</si>
  <si>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</si>
  <si>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</si>
  <si>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</si>
  <si>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</si>
  <si>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</si>
  <si>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</si>
  <si>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</si>
  <si>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</si>
  <si>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</si>
  <si>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</si>
  <si>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</si>
  <si>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</si>
  <si>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</si>
  <si>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</si>
  <si>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</si>
  <si>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</si>
  <si>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</si>
  <si>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</si>
  <si>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</si>
  <si>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</si>
  <si>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</si>
  <si>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</si>
  <si>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</si>
  <si>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</si>
  <si>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</si>
  <si>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</si>
  <si>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</si>
  <si>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</si>
  <si>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</si>
  <si>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</si>
  <si>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</si>
  <si>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</si>
  <si>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</si>
  <si>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</si>
  <si>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</si>
  <si>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</si>
  <si>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</si>
  <si>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</si>
  <si>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</si>
  <si>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</si>
  <si>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</si>
  <si>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</si>
  <si>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</si>
  <si>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</si>
  <si>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</si>
  <si>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</si>
  <si>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</si>
  <si>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</si>
  <si>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</si>
  <si>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</si>
  <si>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</si>
  <si>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</si>
  <si>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</si>
  <si>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</si>
  <si>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43010</t>
  </si>
  <si>
    <t>MALDEGEM</t>
  </si>
  <si>
    <t>Paarden&amp;pony's 200 - 600 kg</t>
  </si>
  <si>
    <t>Paarden&amp;pony's &lt; 200 kg</t>
  </si>
  <si>
    <t>vloeibaar gas (MWh)</t>
  </si>
  <si>
    <t>interne verbrandingsmotor</t>
  </si>
  <si>
    <t>WKK interne verbrandinsgmotor (gas)</t>
  </si>
  <si>
    <t>IMEWO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</si>
</sst>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83728FD1-A966-443C-ABA6-584093E0C276}"/>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204585.91507698433</c:v>
                </c:pt>
                <c:pt idx="1">
                  <c:v>54486.503254290408</c:v>
                </c:pt>
                <c:pt idx="2">
                  <c:v>1534.1880000000001</c:v>
                </c:pt>
                <c:pt idx="3">
                  <c:v>26769.758929913442</c:v>
                </c:pt>
                <c:pt idx="4">
                  <c:v>69115.60618755038</c:v>
                </c:pt>
                <c:pt idx="5">
                  <c:v>224608.78329079697</c:v>
                </c:pt>
                <c:pt idx="6">
                  <c:v>1489.5314059365076</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204585.91507698433</c:v>
                </c:pt>
                <c:pt idx="1">
                  <c:v>54486.503254290408</c:v>
                </c:pt>
                <c:pt idx="2">
                  <c:v>1534.1880000000001</c:v>
                </c:pt>
                <c:pt idx="3">
                  <c:v>26769.758929913442</c:v>
                </c:pt>
                <c:pt idx="4">
                  <c:v>69115.60618755038</c:v>
                </c:pt>
                <c:pt idx="5">
                  <c:v>224608.78329079697</c:v>
                </c:pt>
                <c:pt idx="6">
                  <c:v>1489.5314059365076</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39795.2579474347</c:v>
                </c:pt>
                <c:pt idx="2">
                  <c:v>9861.6888349990732</c:v>
                </c:pt>
                <c:pt idx="3">
                  <c:v>227.52340216742931</c:v>
                </c:pt>
                <c:pt idx="4">
                  <c:v>6577.6589058037498</c:v>
                </c:pt>
                <c:pt idx="5">
                  <c:v>11928.510840958355</c:v>
                </c:pt>
                <c:pt idx="6">
                  <c:v>57516.342148449556</c:v>
                </c:pt>
                <c:pt idx="7">
                  <c:v>384.77463228274513</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39795.2579474347</c:v>
                </c:pt>
                <c:pt idx="2">
                  <c:v>9861.6888349990732</c:v>
                </c:pt>
                <c:pt idx="3">
                  <c:v>227.52340216742931</c:v>
                </c:pt>
                <c:pt idx="4">
                  <c:v>6577.6589058037498</c:v>
                </c:pt>
                <c:pt idx="5">
                  <c:v>11928.510840958355</c:v>
                </c:pt>
                <c:pt idx="6">
                  <c:v>57516.342148449556</c:v>
                </c:pt>
                <c:pt idx="7">
                  <c:v>384.77463228274513</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43010</v>
      </c>
      <c r="B6" s="380"/>
      <c r="C6" s="381"/>
    </row>
    <row r="7" spans="1:7" s="378" customFormat="1" ht="15.75" customHeight="1">
      <c r="A7" s="382" t="str">
        <f>txtMunicipality</f>
        <v>MALDEGEM</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0.14830216516321942</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0.14830216516321942</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9860</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6482.83</v>
      </c>
      <c r="C14" s="322"/>
      <c r="D14" s="322"/>
      <c r="E14" s="322"/>
      <c r="F14" s="322"/>
    </row>
    <row r="15" spans="1:6">
      <c r="A15" s="1248" t="s">
        <v>177</v>
      </c>
      <c r="B15" s="1249">
        <v>401</v>
      </c>
      <c r="C15" s="322"/>
      <c r="D15" s="322"/>
      <c r="E15" s="322"/>
      <c r="F15" s="322"/>
    </row>
    <row r="16" spans="1:6">
      <c r="A16" s="1248" t="s">
        <v>6</v>
      </c>
      <c r="B16" s="1249">
        <v>4089</v>
      </c>
      <c r="C16" s="322"/>
      <c r="D16" s="322"/>
      <c r="E16" s="322"/>
      <c r="F16" s="322"/>
    </row>
    <row r="17" spans="1:6">
      <c r="A17" s="1248" t="s">
        <v>7</v>
      </c>
      <c r="B17" s="1249">
        <v>2326</v>
      </c>
      <c r="C17" s="322"/>
      <c r="D17" s="322"/>
      <c r="E17" s="322"/>
      <c r="F17" s="322"/>
    </row>
    <row r="18" spans="1:6">
      <c r="A18" s="1248" t="s">
        <v>8</v>
      </c>
      <c r="B18" s="1249">
        <v>4213</v>
      </c>
      <c r="C18" s="322"/>
      <c r="D18" s="322"/>
      <c r="E18" s="322"/>
      <c r="F18" s="322"/>
    </row>
    <row r="19" spans="1:6">
      <c r="A19" s="1248" t="s">
        <v>9</v>
      </c>
      <c r="B19" s="1249">
        <v>3855</v>
      </c>
      <c r="C19" s="322"/>
      <c r="D19" s="322"/>
      <c r="E19" s="322"/>
      <c r="F19" s="322"/>
    </row>
    <row r="20" spans="1:6">
      <c r="A20" s="1248" t="s">
        <v>10</v>
      </c>
      <c r="B20" s="1249">
        <v>2363</v>
      </c>
      <c r="C20" s="322"/>
      <c r="D20" s="322"/>
      <c r="E20" s="322"/>
      <c r="F20" s="322"/>
    </row>
    <row r="21" spans="1:6">
      <c r="A21" s="1248" t="s">
        <v>11</v>
      </c>
      <c r="B21" s="1249">
        <v>13352</v>
      </c>
      <c r="C21" s="322"/>
      <c r="D21" s="322"/>
      <c r="E21" s="322"/>
      <c r="F21" s="322"/>
    </row>
    <row r="22" spans="1:6">
      <c r="A22" s="1248" t="s">
        <v>12</v>
      </c>
      <c r="B22" s="1249">
        <v>28576</v>
      </c>
      <c r="C22" s="322"/>
      <c r="D22" s="322"/>
      <c r="E22" s="322"/>
      <c r="F22" s="322"/>
    </row>
    <row r="23" spans="1:6">
      <c r="A23" s="1248" t="s">
        <v>13</v>
      </c>
      <c r="B23" s="1249">
        <v>828</v>
      </c>
      <c r="C23" s="322"/>
      <c r="D23" s="322"/>
      <c r="E23" s="322"/>
      <c r="F23" s="322"/>
    </row>
    <row r="24" spans="1:6">
      <c r="A24" s="1248" t="s">
        <v>14</v>
      </c>
      <c r="B24" s="1249">
        <v>30</v>
      </c>
      <c r="C24" s="322"/>
      <c r="D24" s="322"/>
      <c r="E24" s="322"/>
      <c r="F24" s="322"/>
    </row>
    <row r="25" spans="1:6">
      <c r="A25" s="1248" t="s">
        <v>15</v>
      </c>
      <c r="B25" s="1249">
        <v>3860</v>
      </c>
      <c r="C25" s="322"/>
      <c r="D25" s="322"/>
      <c r="E25" s="322"/>
      <c r="F25" s="322"/>
    </row>
    <row r="26" spans="1:6">
      <c r="A26" s="1248" t="s">
        <v>16</v>
      </c>
      <c r="B26" s="1249">
        <v>572</v>
      </c>
      <c r="C26" s="322"/>
      <c r="D26" s="322"/>
      <c r="E26" s="322"/>
      <c r="F26" s="322"/>
    </row>
    <row r="27" spans="1:6">
      <c r="A27" s="1248" t="s">
        <v>17</v>
      </c>
      <c r="B27" s="1249">
        <v>606</v>
      </c>
      <c r="C27" s="322"/>
      <c r="D27" s="322"/>
      <c r="E27" s="322"/>
      <c r="F27" s="322"/>
    </row>
    <row r="28" spans="1:6">
      <c r="A28" s="1248" t="s">
        <v>18</v>
      </c>
      <c r="B28" s="1250">
        <v>70318</v>
      </c>
      <c r="C28" s="322"/>
      <c r="D28" s="322"/>
      <c r="E28" s="322"/>
      <c r="F28" s="322"/>
    </row>
    <row r="29" spans="1:6">
      <c r="A29" s="1248" t="s">
        <v>884</v>
      </c>
      <c r="B29" s="1250">
        <v>480</v>
      </c>
      <c r="C29" s="322"/>
      <c r="D29" s="322"/>
      <c r="E29" s="322"/>
      <c r="F29" s="322"/>
    </row>
    <row r="30" spans="1:6">
      <c r="A30" s="1243" t="s">
        <v>885</v>
      </c>
      <c r="B30" s="1251">
        <v>205</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3</v>
      </c>
      <c r="F35" s="1249">
        <v>2742.5780479</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1</v>
      </c>
      <c r="D38" s="1249">
        <v>4371079.2211999996</v>
      </c>
      <c r="E38" s="1249">
        <v>8</v>
      </c>
      <c r="F38" s="1249">
        <v>461093.85850999999</v>
      </c>
    </row>
    <row r="39" spans="1:6">
      <c r="A39" s="1248" t="s">
        <v>29</v>
      </c>
      <c r="B39" s="1248" t="s">
        <v>30</v>
      </c>
      <c r="C39" s="1249">
        <v>6167</v>
      </c>
      <c r="D39" s="1249">
        <v>96029944.210999995</v>
      </c>
      <c r="E39" s="1249">
        <v>9275</v>
      </c>
      <c r="F39" s="1249">
        <v>39487757.475000001</v>
      </c>
    </row>
    <row r="40" spans="1:6">
      <c r="A40" s="1248" t="s">
        <v>29</v>
      </c>
      <c r="B40" s="1248" t="s">
        <v>28</v>
      </c>
      <c r="C40" s="1249">
        <v>0</v>
      </c>
      <c r="D40" s="1249">
        <v>0</v>
      </c>
      <c r="E40" s="1249">
        <v>0</v>
      </c>
      <c r="F40" s="1249">
        <v>0</v>
      </c>
    </row>
    <row r="41" spans="1:6">
      <c r="A41" s="1248" t="s">
        <v>31</v>
      </c>
      <c r="B41" s="1248" t="s">
        <v>32</v>
      </c>
      <c r="C41" s="1249">
        <v>133</v>
      </c>
      <c r="D41" s="1249">
        <v>4446035.4632999999</v>
      </c>
      <c r="E41" s="1249">
        <v>304</v>
      </c>
      <c r="F41" s="1249">
        <v>4216091.0944999997</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4</v>
      </c>
      <c r="D44" s="1249">
        <v>121276.04042</v>
      </c>
      <c r="E44" s="1249">
        <v>36</v>
      </c>
      <c r="F44" s="1249">
        <v>786895.49913999997</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3</v>
      </c>
      <c r="D47" s="1249">
        <v>388690.15392999997</v>
      </c>
      <c r="E47" s="1249">
        <v>4</v>
      </c>
      <c r="F47" s="1249">
        <v>1323458.0469</v>
      </c>
    </row>
    <row r="48" spans="1:6">
      <c r="A48" s="1248" t="s">
        <v>31</v>
      </c>
      <c r="B48" s="1248" t="s">
        <v>28</v>
      </c>
      <c r="C48" s="1249">
        <v>56</v>
      </c>
      <c r="D48" s="1249">
        <v>3931772.0537</v>
      </c>
      <c r="E48" s="1249">
        <v>89</v>
      </c>
      <c r="F48" s="1249">
        <v>24225274.480999999</v>
      </c>
    </row>
    <row r="49" spans="1:6">
      <c r="A49" s="1248" t="s">
        <v>31</v>
      </c>
      <c r="B49" s="1248" t="s">
        <v>39</v>
      </c>
      <c r="C49" s="1249">
        <v>0</v>
      </c>
      <c r="D49" s="1249">
        <v>0</v>
      </c>
      <c r="E49" s="1249">
        <v>0</v>
      </c>
      <c r="F49" s="1249">
        <v>0</v>
      </c>
    </row>
    <row r="50" spans="1:6">
      <c r="A50" s="1248" t="s">
        <v>31</v>
      </c>
      <c r="B50" s="1248" t="s">
        <v>40</v>
      </c>
      <c r="C50" s="1249">
        <v>20</v>
      </c>
      <c r="D50" s="1249">
        <v>7464201.4291000003</v>
      </c>
      <c r="E50" s="1249">
        <v>39</v>
      </c>
      <c r="F50" s="1249">
        <v>6002260.4782999996</v>
      </c>
    </row>
    <row r="51" spans="1:6">
      <c r="A51" s="1248" t="s">
        <v>41</v>
      </c>
      <c r="B51" s="1248" t="s">
        <v>42</v>
      </c>
      <c r="C51" s="1249">
        <v>17</v>
      </c>
      <c r="D51" s="1249">
        <v>206785.8695</v>
      </c>
      <c r="E51" s="1249">
        <v>252</v>
      </c>
      <c r="F51" s="1249">
        <v>4528469.6623999998</v>
      </c>
    </row>
    <row r="52" spans="1:6">
      <c r="A52" s="1248" t="s">
        <v>41</v>
      </c>
      <c r="B52" s="1248" t="s">
        <v>28</v>
      </c>
      <c r="C52" s="1249">
        <v>8</v>
      </c>
      <c r="D52" s="1249">
        <v>163170.97049000001</v>
      </c>
      <c r="E52" s="1249">
        <v>17</v>
      </c>
      <c r="F52" s="1249">
        <v>849561.91567999998</v>
      </c>
    </row>
    <row r="53" spans="1:6">
      <c r="A53" s="1248" t="s">
        <v>43</v>
      </c>
      <c r="B53" s="1248" t="s">
        <v>44</v>
      </c>
      <c r="C53" s="1249">
        <v>153</v>
      </c>
      <c r="D53" s="1249">
        <v>2209670.9838999999</v>
      </c>
      <c r="E53" s="1249">
        <v>344</v>
      </c>
      <c r="F53" s="1249">
        <v>1390378.8259999999</v>
      </c>
    </row>
    <row r="54" spans="1:6">
      <c r="A54" s="1248" t="s">
        <v>45</v>
      </c>
      <c r="B54" s="1248" t="s">
        <v>46</v>
      </c>
      <c r="C54" s="1249">
        <v>0</v>
      </c>
      <c r="D54" s="1249">
        <v>0</v>
      </c>
      <c r="E54" s="1249">
        <v>3</v>
      </c>
      <c r="F54" s="1249">
        <v>1534188</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59</v>
      </c>
      <c r="D57" s="1249">
        <v>2779278.3535000002</v>
      </c>
      <c r="E57" s="1249">
        <v>107</v>
      </c>
      <c r="F57" s="1249">
        <v>3188887.7947</v>
      </c>
    </row>
    <row r="58" spans="1:6">
      <c r="A58" s="1248" t="s">
        <v>48</v>
      </c>
      <c r="B58" s="1248" t="s">
        <v>50</v>
      </c>
      <c r="C58" s="1249">
        <v>11</v>
      </c>
      <c r="D58" s="1249">
        <v>380727.95192999998</v>
      </c>
      <c r="E58" s="1249">
        <v>54</v>
      </c>
      <c r="F58" s="1249">
        <v>974341.80338000006</v>
      </c>
    </row>
    <row r="59" spans="1:6">
      <c r="A59" s="1248" t="s">
        <v>48</v>
      </c>
      <c r="B59" s="1248" t="s">
        <v>51</v>
      </c>
      <c r="C59" s="1249">
        <v>161</v>
      </c>
      <c r="D59" s="1249">
        <v>6602123.2112999996</v>
      </c>
      <c r="E59" s="1249">
        <v>360</v>
      </c>
      <c r="F59" s="1249">
        <v>7369833.3075000001</v>
      </c>
    </row>
    <row r="60" spans="1:6">
      <c r="A60" s="1248" t="s">
        <v>48</v>
      </c>
      <c r="B60" s="1248" t="s">
        <v>52</v>
      </c>
      <c r="C60" s="1249">
        <v>89</v>
      </c>
      <c r="D60" s="1249">
        <v>5250714.3351999996</v>
      </c>
      <c r="E60" s="1249">
        <v>137</v>
      </c>
      <c r="F60" s="1249">
        <v>3505191.4731000001</v>
      </c>
    </row>
    <row r="61" spans="1:6">
      <c r="A61" s="1248" t="s">
        <v>48</v>
      </c>
      <c r="B61" s="1248" t="s">
        <v>53</v>
      </c>
      <c r="C61" s="1249">
        <v>125</v>
      </c>
      <c r="D61" s="1249">
        <v>3097912.7409999999</v>
      </c>
      <c r="E61" s="1249">
        <v>303</v>
      </c>
      <c r="F61" s="1249">
        <v>2941577.7760000001</v>
      </c>
    </row>
    <row r="62" spans="1:6">
      <c r="A62" s="1248" t="s">
        <v>48</v>
      </c>
      <c r="B62" s="1248" t="s">
        <v>54</v>
      </c>
      <c r="C62" s="1249">
        <v>5</v>
      </c>
      <c r="D62" s="1249">
        <v>455784.68602000002</v>
      </c>
      <c r="E62" s="1249">
        <v>18</v>
      </c>
      <c r="F62" s="1249">
        <v>337970.03672999999</v>
      </c>
    </row>
    <row r="63" spans="1:6">
      <c r="A63" s="1248" t="s">
        <v>48</v>
      </c>
      <c r="B63" s="1248" t="s">
        <v>28</v>
      </c>
      <c r="C63" s="1249">
        <v>182</v>
      </c>
      <c r="D63" s="1249">
        <v>10368450.523</v>
      </c>
      <c r="E63" s="1249">
        <v>212</v>
      </c>
      <c r="F63" s="1249">
        <v>2949140.9909000001</v>
      </c>
    </row>
    <row r="64" spans="1:6">
      <c r="A64" s="1248" t="s">
        <v>55</v>
      </c>
      <c r="B64" s="1248" t="s">
        <v>56</v>
      </c>
      <c r="C64" s="1249">
        <v>0</v>
      </c>
      <c r="D64" s="1249">
        <v>0</v>
      </c>
      <c r="E64" s="1249">
        <v>0</v>
      </c>
      <c r="F64" s="1249">
        <v>0</v>
      </c>
    </row>
    <row r="65" spans="1:6">
      <c r="A65" s="1248" t="s">
        <v>55</v>
      </c>
      <c r="B65" s="1248" t="s">
        <v>28</v>
      </c>
      <c r="C65" s="1249">
        <v>4</v>
      </c>
      <c r="D65" s="1249">
        <v>127113.82417000001</v>
      </c>
      <c r="E65" s="1249">
        <v>5</v>
      </c>
      <c r="F65" s="1249">
        <v>98157.540147000007</v>
      </c>
    </row>
    <row r="66" spans="1:6">
      <c r="A66" s="1248" t="s">
        <v>55</v>
      </c>
      <c r="B66" s="1248" t="s">
        <v>57</v>
      </c>
      <c r="C66" s="1249">
        <v>0</v>
      </c>
      <c r="D66" s="1249">
        <v>0</v>
      </c>
      <c r="E66" s="1249">
        <v>22</v>
      </c>
      <c r="F66" s="1249">
        <v>1114259.3755000001</v>
      </c>
    </row>
    <row r="67" spans="1:6">
      <c r="A67" s="1248" t="s">
        <v>55</v>
      </c>
      <c r="B67" s="1248" t="s">
        <v>58</v>
      </c>
      <c r="C67" s="1249">
        <v>24</v>
      </c>
      <c r="D67" s="1249">
        <v>2162192.9238999998</v>
      </c>
      <c r="E67" s="1249">
        <v>72</v>
      </c>
      <c r="F67" s="1249">
        <v>819179.16027999995</v>
      </c>
    </row>
    <row r="68" spans="1:6">
      <c r="A68" s="1243" t="s">
        <v>55</v>
      </c>
      <c r="B68" s="1243" t="s">
        <v>59</v>
      </c>
      <c r="C68" s="1251">
        <v>7</v>
      </c>
      <c r="D68" s="1251">
        <v>279376.92222000001</v>
      </c>
      <c r="E68" s="1251">
        <v>18</v>
      </c>
      <c r="F68" s="1251">
        <v>147349.29526000001</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177005028</v>
      </c>
      <c r="E73" s="439"/>
      <c r="F73" s="322"/>
    </row>
    <row r="74" spans="1:6">
      <c r="A74" s="1248" t="s">
        <v>63</v>
      </c>
      <c r="B74" s="1248" t="s">
        <v>626</v>
      </c>
      <c r="C74" s="1261" t="s">
        <v>628</v>
      </c>
      <c r="D74" s="1249">
        <v>19615905.751091491</v>
      </c>
      <c r="E74" s="439"/>
      <c r="F74" s="322"/>
    </row>
    <row r="75" spans="1:6">
      <c r="A75" s="1248" t="s">
        <v>64</v>
      </c>
      <c r="B75" s="1248" t="s">
        <v>625</v>
      </c>
      <c r="C75" s="1261" t="s">
        <v>629</v>
      </c>
      <c r="D75" s="1249">
        <v>45571133</v>
      </c>
      <c r="E75" s="439"/>
      <c r="F75" s="322"/>
    </row>
    <row r="76" spans="1:6">
      <c r="A76" s="1248" t="s">
        <v>64</v>
      </c>
      <c r="B76" s="1248" t="s">
        <v>626</v>
      </c>
      <c r="C76" s="1261" t="s">
        <v>630</v>
      </c>
      <c r="D76" s="1249">
        <v>2359448.75109149</v>
      </c>
      <c r="E76" s="439"/>
      <c r="F76" s="322"/>
    </row>
    <row r="77" spans="1:6">
      <c r="A77" s="1248" t="s">
        <v>65</v>
      </c>
      <c r="B77" s="1248" t="s">
        <v>625</v>
      </c>
      <c r="C77" s="1261" t="s">
        <v>631</v>
      </c>
      <c r="D77" s="1249">
        <v>11444491</v>
      </c>
      <c r="E77" s="439"/>
      <c r="F77" s="322"/>
    </row>
    <row r="78" spans="1:6">
      <c r="A78" s="1243" t="s">
        <v>65</v>
      </c>
      <c r="B78" s="1243" t="s">
        <v>626</v>
      </c>
      <c r="C78" s="1243" t="s">
        <v>632</v>
      </c>
      <c r="D78" s="1251">
        <v>1904370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402866.49781702034</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28398.00584985939</v>
      </c>
      <c r="C90" s="322"/>
      <c r="D90" s="322"/>
      <c r="E90" s="322"/>
      <c r="F90" s="322"/>
    </row>
    <row r="91" spans="1:6">
      <c r="A91" s="1248" t="s">
        <v>67</v>
      </c>
      <c r="B91" s="1249">
        <v>4309.7124068197663</v>
      </c>
      <c r="C91" s="322"/>
      <c r="D91" s="322"/>
      <c r="E91" s="322"/>
      <c r="F91" s="322"/>
    </row>
    <row r="92" spans="1:6">
      <c r="A92" s="1243" t="s">
        <v>68</v>
      </c>
      <c r="B92" s="1244">
        <v>3429.2331298412296</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3634</v>
      </c>
      <c r="C97" s="322"/>
      <c r="D97" s="322"/>
      <c r="E97" s="322"/>
      <c r="F97" s="322"/>
    </row>
    <row r="98" spans="1:6">
      <c r="A98" s="1248" t="s">
        <v>71</v>
      </c>
      <c r="B98" s="1249">
        <v>2</v>
      </c>
      <c r="C98" s="322"/>
      <c r="D98" s="322"/>
      <c r="E98" s="322"/>
      <c r="F98" s="322"/>
    </row>
    <row r="99" spans="1:6">
      <c r="A99" s="1248" t="s">
        <v>72</v>
      </c>
      <c r="B99" s="1249">
        <v>273</v>
      </c>
      <c r="C99" s="322"/>
      <c r="D99" s="322"/>
      <c r="E99" s="322"/>
      <c r="F99" s="322"/>
    </row>
    <row r="100" spans="1:6">
      <c r="A100" s="1248" t="s">
        <v>73</v>
      </c>
      <c r="B100" s="1249">
        <v>857</v>
      </c>
      <c r="C100" s="322"/>
      <c r="D100" s="322"/>
      <c r="E100" s="322"/>
      <c r="F100" s="322"/>
    </row>
    <row r="101" spans="1:6">
      <c r="A101" s="1248" t="s">
        <v>74</v>
      </c>
      <c r="B101" s="1249">
        <v>251</v>
      </c>
      <c r="C101" s="322"/>
      <c r="D101" s="322"/>
      <c r="E101" s="322"/>
      <c r="F101" s="322"/>
    </row>
    <row r="102" spans="1:6">
      <c r="A102" s="1248" t="s">
        <v>75</v>
      </c>
      <c r="B102" s="1249">
        <v>175</v>
      </c>
      <c r="C102" s="322"/>
      <c r="D102" s="322"/>
      <c r="E102" s="322"/>
      <c r="F102" s="322"/>
    </row>
    <row r="103" spans="1:6">
      <c r="A103" s="1248" t="s">
        <v>76</v>
      </c>
      <c r="B103" s="1249">
        <v>357</v>
      </c>
      <c r="C103" s="322"/>
      <c r="D103" s="322"/>
      <c r="E103" s="322"/>
      <c r="F103" s="322"/>
    </row>
    <row r="104" spans="1:6">
      <c r="A104" s="1248" t="s">
        <v>77</v>
      </c>
      <c r="B104" s="1249">
        <v>2984</v>
      </c>
      <c r="C104" s="322"/>
      <c r="D104" s="322"/>
      <c r="E104" s="322"/>
      <c r="F104" s="322"/>
    </row>
    <row r="105" spans="1:6">
      <c r="A105" s="1243" t="s">
        <v>78</v>
      </c>
      <c r="B105" s="1251">
        <v>18</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54</v>
      </c>
      <c r="C123" s="1249">
        <v>54</v>
      </c>
      <c r="D123" s="322"/>
      <c r="E123" s="322"/>
      <c r="F123" s="322"/>
    </row>
    <row r="124" spans="1:6">
      <c r="A124" s="1248" t="s">
        <v>88</v>
      </c>
      <c r="B124" s="1249">
        <v>1</v>
      </c>
      <c r="C124" s="1249">
        <v>0</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243</v>
      </c>
      <c r="C129" s="322"/>
      <c r="D129" s="322"/>
      <c r="E129" s="322"/>
      <c r="F129" s="322"/>
    </row>
    <row r="130" spans="1:6">
      <c r="A130" s="1248" t="s">
        <v>284</v>
      </c>
      <c r="B130" s="1249">
        <v>8</v>
      </c>
      <c r="C130" s="322"/>
      <c r="D130" s="322"/>
      <c r="E130" s="322"/>
      <c r="F130" s="322"/>
    </row>
    <row r="131" spans="1:6">
      <c r="A131" s="1248" t="s">
        <v>285</v>
      </c>
      <c r="B131" s="1249">
        <v>4</v>
      </c>
      <c r="C131" s="322"/>
      <c r="D131" s="322"/>
      <c r="E131" s="322"/>
      <c r="F131" s="322"/>
    </row>
    <row r="132" spans="1:6">
      <c r="A132" s="1243" t="s">
        <v>286</v>
      </c>
      <c r="B132" s="1244">
        <v>31</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109988.3225459635</v>
      </c>
      <c r="C3" s="43" t="s">
        <v>163</v>
      </c>
      <c r="D3" s="43"/>
      <c r="E3" s="153"/>
      <c r="F3" s="43"/>
      <c r="G3" s="43"/>
      <c r="H3" s="43"/>
      <c r="I3" s="43"/>
      <c r="J3" s="43"/>
      <c r="K3" s="96"/>
    </row>
    <row r="4" spans="1:11">
      <c r="A4" s="348" t="s">
        <v>164</v>
      </c>
      <c r="B4" s="49">
        <f>IF(ISERROR('SEAP template'!B78+'SEAP template'!C78),0,'SEAP template'!B78+'SEAP template'!C78)</f>
        <v>36180.601386520386</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0.14830216516321942</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62.357142857142847</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1534.1880000000001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1534.1880000000001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0.14830216516321942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227.52340216742931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39487.757474999999</v>
      </c>
      <c r="C5" s="17">
        <f>IF(ISERROR('Eigen informatie GS &amp; warmtenet'!B57),0,'Eigen informatie GS &amp; warmtenet'!B57)</f>
        <v>0</v>
      </c>
      <c r="D5" s="30">
        <f>(SUM(HH_hh_gas_kWh,HH_rest_gas_kWh)/1000)*0.902</f>
        <v>86619.009678321992</v>
      </c>
      <c r="E5" s="17">
        <f>B32*B41</f>
        <v>2062.0545573423892</v>
      </c>
      <c r="F5" s="17">
        <f>B36*B45</f>
        <v>56063.181841822901</v>
      </c>
      <c r="G5" s="18"/>
      <c r="H5" s="17"/>
      <c r="I5" s="17"/>
      <c r="J5" s="17">
        <f>B35*B44+C35*C44</f>
        <v>1033.9052089984832</v>
      </c>
      <c r="K5" s="17"/>
      <c r="L5" s="17"/>
      <c r="M5" s="17"/>
      <c r="N5" s="17">
        <f>B34*B43+C34*C43</f>
        <v>12906.25057534549</v>
      </c>
      <c r="O5" s="17">
        <f>B52*B53*B54</f>
        <v>464.31000000000006</v>
      </c>
      <c r="P5" s="17">
        <f>B60*B61*B62/1000-B60*B61*B62/1000/B63</f>
        <v>1639.7333333333333</v>
      </c>
    </row>
    <row r="6" spans="1:16">
      <c r="A6" s="16" t="s">
        <v>586</v>
      </c>
      <c r="B6" s="716">
        <f>kWh_PV_kleiner_dan_10kW</f>
        <v>4309.7124068197663</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43797.469881819765</v>
      </c>
      <c r="C8" s="21">
        <f>C5</f>
        <v>0</v>
      </c>
      <c r="D8" s="21">
        <f>D5</f>
        <v>86619.009678321992</v>
      </c>
      <c r="E8" s="21">
        <f>E5</f>
        <v>2062.0545573423892</v>
      </c>
      <c r="F8" s="21">
        <f>F5</f>
        <v>56063.181841822901</v>
      </c>
      <c r="G8" s="21"/>
      <c r="H8" s="21"/>
      <c r="I8" s="21"/>
      <c r="J8" s="21">
        <f>J5</f>
        <v>1033.9052089984832</v>
      </c>
      <c r="K8" s="21"/>
      <c r="L8" s="21">
        <f>L5</f>
        <v>0</v>
      </c>
      <c r="M8" s="21">
        <f>M5</f>
        <v>0</v>
      </c>
      <c r="N8" s="21">
        <f>N5</f>
        <v>12906.25057534549</v>
      </c>
      <c r="O8" s="21">
        <f>O5</f>
        <v>464.31000000000006</v>
      </c>
      <c r="P8" s="21">
        <f>P5</f>
        <v>1639.7333333333333</v>
      </c>
    </row>
    <row r="9" spans="1:16">
      <c r="B9" s="19"/>
      <c r="C9" s="19"/>
      <c r="D9" s="253"/>
      <c r="E9" s="19"/>
      <c r="F9" s="19"/>
      <c r="G9" s="19"/>
      <c r="H9" s="19"/>
      <c r="I9" s="19"/>
      <c r="J9" s="19"/>
      <c r="K9" s="19"/>
      <c r="L9" s="19"/>
      <c r="M9" s="19"/>
      <c r="N9" s="19"/>
      <c r="O9" s="19"/>
      <c r="P9" s="19"/>
    </row>
    <row r="10" spans="1:16">
      <c r="A10" s="24" t="s">
        <v>207</v>
      </c>
      <c r="B10" s="25">
        <f ca="1">'EF ele_warmte'!B12</f>
        <v>0.14830216516321942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6495.2596121447632</v>
      </c>
      <c r="C12" s="23">
        <f ca="1">C10*C8</f>
        <v>0</v>
      </c>
      <c r="D12" s="23">
        <f>D8*D10</f>
        <v>17497.039955021042</v>
      </c>
      <c r="E12" s="23">
        <f>E10*E8</f>
        <v>468.08638451672238</v>
      </c>
      <c r="F12" s="23">
        <f>F10*F8</f>
        <v>14968.869551766715</v>
      </c>
      <c r="G12" s="23"/>
      <c r="H12" s="23"/>
      <c r="I12" s="23"/>
      <c r="J12" s="23">
        <f>J10*J8</f>
        <v>366.00244398546306</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9860</v>
      </c>
      <c r="C26" s="36"/>
      <c r="D26" s="224"/>
    </row>
    <row r="27" spans="1:5" s="15" customFormat="1">
      <c r="A27" s="226" t="s">
        <v>655</v>
      </c>
      <c r="B27" s="37">
        <f>SUM(HH_hh_gas_aantal,HH_rest_gas_aantal)</f>
        <v>6167</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5858.65</v>
      </c>
      <c r="C31" s="34" t="s">
        <v>104</v>
      </c>
      <c r="D31" s="170"/>
    </row>
    <row r="32" spans="1:5">
      <c r="A32" s="167" t="s">
        <v>72</v>
      </c>
      <c r="B32" s="33">
        <f>IF((B21*($B$26-($B$27-0.05*$B$27)-$B$60))&lt;0,0,B21*($B$26-($B$27-0.05*$B$27)-$B$60))</f>
        <v>25.267424743522252</v>
      </c>
      <c r="C32" s="34" t="s">
        <v>104</v>
      </c>
      <c r="D32" s="170"/>
    </row>
    <row r="33" spans="1:6">
      <c r="A33" s="167" t="s">
        <v>73</v>
      </c>
      <c r="B33" s="33">
        <f>IF((B22*($B$26-($B$27-0.05*$B$27)-$B$60))&lt;0,0,B22*($B$26-($B$27-0.05*$B$27)-$B$60))</f>
        <v>879.90351890970737</v>
      </c>
      <c r="C33" s="34" t="s">
        <v>104</v>
      </c>
      <c r="D33" s="170"/>
    </row>
    <row r="34" spans="1:6">
      <c r="A34" s="167" t="s">
        <v>74</v>
      </c>
      <c r="B34" s="33">
        <f>IF((B24*($B$26-($B$27-0.05*$B$27)-$B$60))&lt;0,0,B24*($B$26-($B$27-0.05*$B$27)-$B$60))</f>
        <v>174.73080819884765</v>
      </c>
      <c r="C34" s="33">
        <f>B26*C24</f>
        <v>2017.9706763308409</v>
      </c>
      <c r="D34" s="229"/>
    </row>
    <row r="35" spans="1:6">
      <c r="A35" s="167" t="s">
        <v>76</v>
      </c>
      <c r="B35" s="33">
        <f>IF((B19*($B$26-($B$27-0.05*$B$27)-$B$60))&lt;0,0,B19*($B$26-($B$27-0.05*$B$27)-$B$60))</f>
        <v>85.329855612782993</v>
      </c>
      <c r="C35" s="33">
        <f>B35/2</f>
        <v>42.664927806391496</v>
      </c>
      <c r="D35" s="229"/>
    </row>
    <row r="36" spans="1:6">
      <c r="A36" s="167" t="s">
        <v>77</v>
      </c>
      <c r="B36" s="33">
        <f>IF((B18*($B$26-($B$27-0.05*$B$27)-$B$60))&lt;0,0,B18*($B$26-($B$27-0.05*$B$27)-$B$60))</f>
        <v>2750.1183925351411</v>
      </c>
      <c r="C36" s="34" t="s">
        <v>104</v>
      </c>
      <c r="D36" s="170"/>
    </row>
    <row r="37" spans="1:6">
      <c r="A37" s="167" t="s">
        <v>78</v>
      </c>
      <c r="B37" s="33">
        <f>B60</f>
        <v>86</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297</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86</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21266.943182309999</v>
      </c>
      <c r="C5" s="17">
        <f>IF(ISERROR('Eigen informatie GS &amp; warmtenet'!B58),0,'Eigen informatie GS &amp; warmtenet'!B58)</f>
        <v>0</v>
      </c>
      <c r="D5" s="30">
        <f>SUM(D6:D12)</f>
        <v>26099.362605358896</v>
      </c>
      <c r="E5" s="17">
        <f>SUM(E6:E12)</f>
        <v>371.13084305901788</v>
      </c>
      <c r="F5" s="17">
        <f>SUM(F6:F12)</f>
        <v>5061.5026443908191</v>
      </c>
      <c r="G5" s="18"/>
      <c r="H5" s="17"/>
      <c r="I5" s="17"/>
      <c r="J5" s="17">
        <f>SUM(J6:J12)</f>
        <v>4.508742962853915E-2</v>
      </c>
      <c r="K5" s="17"/>
      <c r="L5" s="17"/>
      <c r="M5" s="17"/>
      <c r="N5" s="17">
        <f>SUM(N6:N12)</f>
        <v>1598.7455584087072</v>
      </c>
      <c r="O5" s="17">
        <f>B38*B39*B40</f>
        <v>12.506666666666668</v>
      </c>
      <c r="P5" s="17">
        <f>B46*B47*B48/1000-B46*B47*B48/1000/B49</f>
        <v>76.266666666666666</v>
      </c>
      <c r="R5" s="32"/>
    </row>
    <row r="6" spans="1:18">
      <c r="A6" s="32" t="s">
        <v>53</v>
      </c>
      <c r="B6" s="37">
        <f>B26</f>
        <v>2941.5777760000001</v>
      </c>
      <c r="C6" s="33"/>
      <c r="D6" s="37">
        <f>IF(ISERROR(TER_kantoor_gas_kWh/1000),0,TER_kantoor_gas_kWh/1000)*0.902</f>
        <v>2794.3172923820002</v>
      </c>
      <c r="E6" s="33">
        <f>$C$26*'E Balans VL '!I12/100/3.6*1000000</f>
        <v>1.6746890175118017E-18</v>
      </c>
      <c r="F6" s="33">
        <f>$C$26*('E Balans VL '!L12+'E Balans VL '!N12)/100/3.6*1000000</f>
        <v>397.65284640578466</v>
      </c>
      <c r="G6" s="34"/>
      <c r="H6" s="33"/>
      <c r="I6" s="33"/>
      <c r="J6" s="33">
        <f>$C$26*('E Balans VL '!D12+'E Balans VL '!E12)/100/3.6*1000000</f>
        <v>0</v>
      </c>
      <c r="K6" s="33"/>
      <c r="L6" s="33"/>
      <c r="M6" s="33"/>
      <c r="N6" s="33">
        <f>$C$26*'E Balans VL '!Y12/100/3.6*1000000</f>
        <v>3.696965561890535</v>
      </c>
      <c r="O6" s="33"/>
      <c r="P6" s="33"/>
      <c r="R6" s="32"/>
    </row>
    <row r="7" spans="1:18">
      <c r="A7" s="32" t="s">
        <v>52</v>
      </c>
      <c r="B7" s="37">
        <f t="shared" ref="B7:B12" si="0">B27</f>
        <v>3505.1914731000002</v>
      </c>
      <c r="C7" s="33"/>
      <c r="D7" s="37">
        <f>IF(ISERROR(TER_horeca_gas_kWh/1000),0,TER_horeca_gas_kWh/1000)*0.902</f>
        <v>4736.1443303503993</v>
      </c>
      <c r="E7" s="33">
        <f>$C$27*'E Balans VL '!I9/100/3.6*1000000</f>
        <v>44.768427504199039</v>
      </c>
      <c r="F7" s="33">
        <f>$C$27*('E Balans VL '!L9+'E Balans VL '!N9)/100/3.6*1000000</f>
        <v>395.89562746354079</v>
      </c>
      <c r="G7" s="34"/>
      <c r="H7" s="33"/>
      <c r="I7" s="33"/>
      <c r="J7" s="33">
        <f>$C$27*('E Balans VL '!D9+'E Balans VL '!E9)/100/3.6*1000000</f>
        <v>0</v>
      </c>
      <c r="K7" s="33"/>
      <c r="L7" s="33"/>
      <c r="M7" s="33"/>
      <c r="N7" s="33">
        <f>$C$27*'E Balans VL '!Y9/100/3.6*1000000</f>
        <v>0.83530200674133759</v>
      </c>
      <c r="O7" s="33"/>
      <c r="P7" s="33"/>
      <c r="R7" s="32"/>
    </row>
    <row r="8" spans="1:18">
      <c r="A8" s="6" t="s">
        <v>51</v>
      </c>
      <c r="B8" s="37">
        <f t="shared" si="0"/>
        <v>7369.8333075</v>
      </c>
      <c r="C8" s="33"/>
      <c r="D8" s="37">
        <f>IF(ISERROR(TER_handel_gas_kWh/1000),0,TER_handel_gas_kWh/1000)*0.902</f>
        <v>5955.1151365925998</v>
      </c>
      <c r="E8" s="33">
        <f>$C$28*'E Balans VL '!I13/100/3.6*1000000</f>
        <v>240.68679374381878</v>
      </c>
      <c r="F8" s="33">
        <f>$C$28*('E Balans VL '!L13+'E Balans VL '!N13)/100/3.6*1000000</f>
        <v>1276.0267561136163</v>
      </c>
      <c r="G8" s="34"/>
      <c r="H8" s="33"/>
      <c r="I8" s="33"/>
      <c r="J8" s="33">
        <f>$C$28*('E Balans VL '!D13+'E Balans VL '!E13)/100/3.6*1000000</f>
        <v>0</v>
      </c>
      <c r="K8" s="33"/>
      <c r="L8" s="33"/>
      <c r="M8" s="33"/>
      <c r="N8" s="33">
        <f>$C$28*'E Balans VL '!Y13/100/3.6*1000000</f>
        <v>8.6740893651163642</v>
      </c>
      <c r="O8" s="33"/>
      <c r="P8" s="33"/>
      <c r="R8" s="32"/>
    </row>
    <row r="9" spans="1:18">
      <c r="A9" s="32" t="s">
        <v>50</v>
      </c>
      <c r="B9" s="37">
        <f t="shared" si="0"/>
        <v>974.3418033800001</v>
      </c>
      <c r="C9" s="33"/>
      <c r="D9" s="37">
        <f>IF(ISERROR(TER_gezond_gas_kWh/1000),0,TER_gezond_gas_kWh/1000)*0.902</f>
        <v>343.41661264085997</v>
      </c>
      <c r="E9" s="33">
        <f>$C$29*'E Balans VL '!I10/100/3.6*1000000</f>
        <v>5.4409694514757433E-2</v>
      </c>
      <c r="F9" s="33">
        <f>$C$29*('E Balans VL '!L10+'E Balans VL '!N10)/100/3.6*1000000</f>
        <v>129.09666425911087</v>
      </c>
      <c r="G9" s="34"/>
      <c r="H9" s="33"/>
      <c r="I9" s="33"/>
      <c r="J9" s="33">
        <f>$C$29*('E Balans VL '!D10+'E Balans VL '!E10)/100/3.6*1000000</f>
        <v>0</v>
      </c>
      <c r="K9" s="33"/>
      <c r="L9" s="33"/>
      <c r="M9" s="33"/>
      <c r="N9" s="33">
        <f>$C$29*'E Balans VL '!Y10/100/3.6*1000000</f>
        <v>10.327368230215122</v>
      </c>
      <c r="O9" s="33"/>
      <c r="P9" s="33"/>
      <c r="R9" s="32"/>
    </row>
    <row r="10" spans="1:18">
      <c r="A10" s="32" t="s">
        <v>49</v>
      </c>
      <c r="B10" s="37">
        <f t="shared" si="0"/>
        <v>3188.8877947000001</v>
      </c>
      <c r="C10" s="33"/>
      <c r="D10" s="37">
        <f>IF(ISERROR(TER_ander_gas_kWh/1000),0,TER_ander_gas_kWh/1000)*0.902</f>
        <v>2506.9090748570002</v>
      </c>
      <c r="E10" s="33">
        <f>$C$30*'E Balans VL '!I14/100/3.6*1000000</f>
        <v>41.17946399496126</v>
      </c>
      <c r="F10" s="33">
        <f>$C$30*('E Balans VL '!L14+'E Balans VL '!N14)/100/3.6*1000000</f>
        <v>2104.8933986889547</v>
      </c>
      <c r="G10" s="34"/>
      <c r="H10" s="33"/>
      <c r="I10" s="33"/>
      <c r="J10" s="33">
        <f>$C$30*('E Balans VL '!D14+'E Balans VL '!E14)/100/3.6*1000000</f>
        <v>3.8630870283720115E-2</v>
      </c>
      <c r="K10" s="33"/>
      <c r="L10" s="33"/>
      <c r="M10" s="33"/>
      <c r="N10" s="33">
        <f>$C$30*'E Balans VL '!Y14/100/3.6*1000000</f>
        <v>1344.7409992499629</v>
      </c>
      <c r="O10" s="33"/>
      <c r="P10" s="33"/>
      <c r="R10" s="32"/>
    </row>
    <row r="11" spans="1:18">
      <c r="A11" s="32" t="s">
        <v>54</v>
      </c>
      <c r="B11" s="37">
        <f t="shared" si="0"/>
        <v>337.97003673</v>
      </c>
      <c r="C11" s="33"/>
      <c r="D11" s="37">
        <f>IF(ISERROR(TER_onderwijs_gas_kWh/1000),0,TER_onderwijs_gas_kWh/1000)*0.902</f>
        <v>411.11778679004004</v>
      </c>
      <c r="E11" s="33">
        <f>$C$31*'E Balans VL '!I11/100/3.6*1000000</f>
        <v>4.548238272241016</v>
      </c>
      <c r="F11" s="33">
        <f>$C$31*('E Balans VL '!L11+'E Balans VL '!N11)/100/3.6*1000000</f>
        <v>52.817036149147462</v>
      </c>
      <c r="G11" s="34"/>
      <c r="H11" s="33"/>
      <c r="I11" s="33"/>
      <c r="J11" s="33">
        <f>$C$31*('E Balans VL '!D11+'E Balans VL '!E11)/100/3.6*1000000</f>
        <v>0</v>
      </c>
      <c r="K11" s="33"/>
      <c r="L11" s="33"/>
      <c r="M11" s="33"/>
      <c r="N11" s="33">
        <f>$C$31*'E Balans VL '!Y11/100/3.6*1000000</f>
        <v>0.78038882963663214</v>
      </c>
      <c r="O11" s="33"/>
      <c r="P11" s="33"/>
      <c r="R11" s="32"/>
    </row>
    <row r="12" spans="1:18">
      <c r="A12" s="32" t="s">
        <v>249</v>
      </c>
      <c r="B12" s="37">
        <f t="shared" si="0"/>
        <v>2949.1409908999999</v>
      </c>
      <c r="C12" s="33"/>
      <c r="D12" s="37">
        <f>IF(ISERROR(TER_rest_gas_kWh/1000),0,TER_rest_gas_kWh/1000)*0.902</f>
        <v>9352.3423717459991</v>
      </c>
      <c r="E12" s="33">
        <f>$C$32*'E Balans VL '!I8/100/3.6*1000000</f>
        <v>39.893509849283042</v>
      </c>
      <c r="F12" s="33">
        <f>$C$32*('E Balans VL '!L8+'E Balans VL '!N8)/100/3.6*1000000</f>
        <v>705.12031531066464</v>
      </c>
      <c r="G12" s="34"/>
      <c r="H12" s="33"/>
      <c r="I12" s="33"/>
      <c r="J12" s="33">
        <f>$C$32*('E Balans VL '!D8+'E Balans VL '!E8)/100/3.6*1000000</f>
        <v>6.4565593448190376E-3</v>
      </c>
      <c r="K12" s="33"/>
      <c r="L12" s="33"/>
      <c r="M12" s="33"/>
      <c r="N12" s="33">
        <f>$C$32*'E Balans VL '!Y8/100/3.6*1000000</f>
        <v>229.6904451651445</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21266.943182309999</v>
      </c>
      <c r="C16" s="21">
        <f t="shared" ca="1" si="1"/>
        <v>0</v>
      </c>
      <c r="D16" s="21">
        <f t="shared" ca="1" si="1"/>
        <v>26099.362605358896</v>
      </c>
      <c r="E16" s="21">
        <f t="shared" si="1"/>
        <v>371.13084305901788</v>
      </c>
      <c r="F16" s="21">
        <f t="shared" ca="1" si="1"/>
        <v>5061.5026443908191</v>
      </c>
      <c r="G16" s="21">
        <f t="shared" si="1"/>
        <v>0</v>
      </c>
      <c r="H16" s="21">
        <f t="shared" si="1"/>
        <v>0</v>
      </c>
      <c r="I16" s="21">
        <f t="shared" si="1"/>
        <v>0</v>
      </c>
      <c r="J16" s="21">
        <f t="shared" si="1"/>
        <v>4.508742962853915E-2</v>
      </c>
      <c r="K16" s="21">
        <f t="shared" si="1"/>
        <v>0</v>
      </c>
      <c r="L16" s="21">
        <f t="shared" ca="1" si="1"/>
        <v>0</v>
      </c>
      <c r="M16" s="21">
        <f t="shared" si="1"/>
        <v>0</v>
      </c>
      <c r="N16" s="21">
        <f t="shared" ca="1" si="1"/>
        <v>1598.7455584087072</v>
      </c>
      <c r="O16" s="21">
        <f>O5</f>
        <v>12.506666666666668</v>
      </c>
      <c r="P16" s="21">
        <f>P5</f>
        <v>76.266666666666666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0.14830216516321942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3153.9337203397408</v>
      </c>
      <c r="C20" s="23">
        <f t="shared" ref="C20:P20" ca="1" si="2">C16*C18</f>
        <v>0</v>
      </c>
      <c r="D20" s="23">
        <f t="shared" ca="1" si="2"/>
        <v>5272.0712462824977</v>
      </c>
      <c r="E20" s="23">
        <f t="shared" si="2"/>
        <v>84.246701374397063</v>
      </c>
      <c r="F20" s="23">
        <f t="shared" ca="1" si="2"/>
        <v>1351.4212060523487</v>
      </c>
      <c r="G20" s="23">
        <f t="shared" si="2"/>
        <v>0</v>
      </c>
      <c r="H20" s="23">
        <f t="shared" si="2"/>
        <v>0</v>
      </c>
      <c r="I20" s="23">
        <f t="shared" si="2"/>
        <v>0</v>
      </c>
      <c r="J20" s="23">
        <f t="shared" si="2"/>
        <v>1.5960950088502859E-2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2941.5777760000001</v>
      </c>
      <c r="C26" s="39">
        <f>IF(ISERROR(B26*3.6/1000000/'E Balans VL '!Z12*100),0,B26*3.6/1000000/'E Balans VL '!Z12*100)</f>
        <v>7.8926094998997859E-2</v>
      </c>
      <c r="D26" s="232" t="s">
        <v>621</v>
      </c>
      <c r="F26" s="6"/>
    </row>
    <row r="27" spans="1:18">
      <c r="A27" s="227" t="s">
        <v>52</v>
      </c>
      <c r="B27" s="33">
        <f>IF(ISERROR(TER_horeca_ele_kWh/1000),0,TER_horeca_ele_kWh/1000)</f>
        <v>3505.1914731000002</v>
      </c>
      <c r="C27" s="39">
        <f>IF(ISERROR(B27*3.6/1000000/'E Balans VL '!Z9*100),0,B27*3.6/1000000/'E Balans VL '!Z9*100)</f>
        <v>0.27846297812483911</v>
      </c>
      <c r="D27" s="232" t="s">
        <v>621</v>
      </c>
      <c r="F27" s="6"/>
    </row>
    <row r="28" spans="1:18">
      <c r="A28" s="167" t="s">
        <v>51</v>
      </c>
      <c r="B28" s="33">
        <f>IF(ISERROR(TER_handel_ele_kWh/1000),0,TER_handel_ele_kWh/1000)</f>
        <v>7369.8333075</v>
      </c>
      <c r="C28" s="39">
        <f>IF(ISERROR(B28*3.6/1000000/'E Balans VL '!Z13*100),0,B28*3.6/1000000/'E Balans VL '!Z13*100)</f>
        <v>0.21556675269591261</v>
      </c>
      <c r="D28" s="232" t="s">
        <v>621</v>
      </c>
      <c r="F28" s="6"/>
    </row>
    <row r="29" spans="1:18">
      <c r="A29" s="227" t="s">
        <v>50</v>
      </c>
      <c r="B29" s="33">
        <f>IF(ISERROR(TER_gezond_ele_kWh/1000),0,TER_gezond_ele_kWh/1000)</f>
        <v>974.3418033800001</v>
      </c>
      <c r="C29" s="39">
        <f>IF(ISERROR(B29*3.6/1000000/'E Balans VL '!Z10*100),0,B29*3.6/1000000/'E Balans VL '!Z10*100)</f>
        <v>0.10341265051997885</v>
      </c>
      <c r="D29" s="232" t="s">
        <v>621</v>
      </c>
      <c r="F29" s="6"/>
    </row>
    <row r="30" spans="1:18">
      <c r="A30" s="227" t="s">
        <v>49</v>
      </c>
      <c r="B30" s="33">
        <f>IF(ISERROR(TER_ander_ele_kWh/1000),0,TER_ander_ele_kWh/1000)</f>
        <v>3188.8877947000001</v>
      </c>
      <c r="C30" s="39">
        <f>IF(ISERROR(B30*3.6/1000000/'E Balans VL '!Z14*100),0,B30*3.6/1000000/'E Balans VL '!Z14*100)</f>
        <v>0.14832672037264549</v>
      </c>
      <c r="D30" s="232" t="s">
        <v>621</v>
      </c>
      <c r="F30" s="6"/>
    </row>
    <row r="31" spans="1:18">
      <c r="A31" s="227" t="s">
        <v>54</v>
      </c>
      <c r="B31" s="33">
        <f>IF(ISERROR(TER_onderwijs_ele_kWh/1000),0,TER_onderwijs_ele_kWh/1000)</f>
        <v>337.97003673</v>
      </c>
      <c r="C31" s="39">
        <f>IF(ISERROR(B31*3.6/1000000/'E Balans VL '!Z11*100),0,B31*3.6/1000000/'E Balans VL '!Z11*100)</f>
        <v>8.4586895524363395E-2</v>
      </c>
      <c r="D31" s="232" t="s">
        <v>621</v>
      </c>
    </row>
    <row r="32" spans="1:18">
      <c r="A32" s="227" t="s">
        <v>249</v>
      </c>
      <c r="B32" s="33">
        <f>IF(ISERROR(TER_rest_ele_kWh/1000),0,TER_rest_ele_kWh/1000)</f>
        <v>2949.1409908999999</v>
      </c>
      <c r="C32" s="39">
        <f>IF(ISERROR(B32*3.6/1000000/'E Balans VL '!Z8*100),0,B32*3.6/1000000/'E Balans VL '!Z8*100)</f>
        <v>2.4790543559458755E-2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8</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4</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36553.97959984</v>
      </c>
      <c r="C5" s="17">
        <f>IF(ISERROR('Eigen informatie GS &amp; warmtenet'!B59),0,'Eigen informatie GS &amp; warmtenet'!B59)</f>
        <v>0</v>
      </c>
      <c r="D5" s="30">
        <f>SUM(D6:D15)</f>
        <v>14749.481576685899</v>
      </c>
      <c r="E5" s="17">
        <f>SUM(E6:E15)</f>
        <v>2577.2032220968686</v>
      </c>
      <c r="F5" s="17">
        <f>SUM(F6:F15)</f>
        <v>10644.823051462128</v>
      </c>
      <c r="G5" s="18"/>
      <c r="H5" s="17"/>
      <c r="I5" s="17"/>
      <c r="J5" s="17">
        <f>SUM(J6:J15)</f>
        <v>284.99535684463774</v>
      </c>
      <c r="K5" s="17"/>
      <c r="L5" s="17"/>
      <c r="M5" s="17"/>
      <c r="N5" s="17">
        <f>SUM(N6:N15)</f>
        <v>4305.1233806208411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786.89549913999997</v>
      </c>
      <c r="C8" s="33"/>
      <c r="D8" s="37">
        <f>IF( ISERROR(IND_metaal_Gas_kWH/1000),0,IND_metaal_Gas_kWH/1000)*0.902</f>
        <v>109.39098845884</v>
      </c>
      <c r="E8" s="33">
        <f>C30*'E Balans VL '!I18/100/3.6*1000000</f>
        <v>28.31488057931282</v>
      </c>
      <c r="F8" s="33">
        <f>C30*'E Balans VL '!L18/100/3.6*1000000+C30*'E Balans VL '!N18/100/3.6*1000000</f>
        <v>343.61175606680217</v>
      </c>
      <c r="G8" s="34"/>
      <c r="H8" s="33"/>
      <c r="I8" s="33"/>
      <c r="J8" s="40">
        <f>C30*'E Balans VL '!D18/100/3.6*1000000+C30*'E Balans VL '!E18/100/3.6*1000000</f>
        <v>0</v>
      </c>
      <c r="K8" s="33"/>
      <c r="L8" s="33"/>
      <c r="M8" s="33"/>
      <c r="N8" s="33">
        <f>C30*'E Balans VL '!Y18/100/3.6*1000000</f>
        <v>39.438667664743008</v>
      </c>
      <c r="O8" s="33"/>
      <c r="P8" s="33"/>
      <c r="R8" s="32"/>
    </row>
    <row r="9" spans="1:18">
      <c r="A9" s="6" t="s">
        <v>32</v>
      </c>
      <c r="B9" s="37">
        <f t="shared" si="0"/>
        <v>4216.0910944999996</v>
      </c>
      <c r="C9" s="33"/>
      <c r="D9" s="37">
        <f>IF( ISERROR(IND_andere_gas_kWh/1000),0,IND_andere_gas_kWh/1000)*0.902</f>
        <v>4010.3239878965996</v>
      </c>
      <c r="E9" s="33">
        <f>C31*'E Balans VL '!I19/100/3.6*1000000</f>
        <v>1075.8510555835637</v>
      </c>
      <c r="F9" s="33">
        <f>C31*'E Balans VL '!L19/100/3.6*1000000+C31*'E Balans VL '!N19/100/3.6*1000000</f>
        <v>3629.7375386380672</v>
      </c>
      <c r="G9" s="34"/>
      <c r="H9" s="33"/>
      <c r="I9" s="33"/>
      <c r="J9" s="40">
        <f>C31*'E Balans VL '!D19/100/3.6*1000000+C31*'E Balans VL '!E19/100/3.6*1000000</f>
        <v>0</v>
      </c>
      <c r="K9" s="33"/>
      <c r="L9" s="33"/>
      <c r="M9" s="33"/>
      <c r="N9" s="33">
        <f>C31*'E Balans VL '!Y19/100/3.6*1000000</f>
        <v>332.60025185416652</v>
      </c>
      <c r="O9" s="33"/>
      <c r="P9" s="33"/>
      <c r="R9" s="32"/>
    </row>
    <row r="10" spans="1:18">
      <c r="A10" s="6" t="s">
        <v>40</v>
      </c>
      <c r="B10" s="37">
        <f t="shared" si="0"/>
        <v>6002.2604782999997</v>
      </c>
      <c r="C10" s="33"/>
      <c r="D10" s="37">
        <f>IF( ISERROR(IND_voed_gas_kWh/1000),0,IND_voed_gas_kWh/1000)*0.902</f>
        <v>6732.7096890482007</v>
      </c>
      <c r="E10" s="33">
        <f>C32*'E Balans VL '!I20/100/3.6*1000000</f>
        <v>152.58570313742257</v>
      </c>
      <c r="F10" s="33">
        <f>C32*'E Balans VL '!L20/100/3.6*1000000+C32*'E Balans VL '!N20/100/3.6*1000000</f>
        <v>1358.2214445391351</v>
      </c>
      <c r="G10" s="34"/>
      <c r="H10" s="33"/>
      <c r="I10" s="33"/>
      <c r="J10" s="40">
        <f>C32*'E Balans VL '!D20/100/3.6*1000000+C32*'E Balans VL '!E20/100/3.6*1000000</f>
        <v>0</v>
      </c>
      <c r="K10" s="33"/>
      <c r="L10" s="33"/>
      <c r="M10" s="33"/>
      <c r="N10" s="33">
        <f>C32*'E Balans VL '!Y20/100/3.6*1000000</f>
        <v>2251.0103770322585</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1323.4580469</v>
      </c>
      <c r="C13" s="33"/>
      <c r="D13" s="37">
        <f>IF( ISERROR(IND_papier_gas_kWh/1000),0,IND_papier_gas_kWh/1000)*0.902</f>
        <v>350.59851884485994</v>
      </c>
      <c r="E13" s="33">
        <f>C35*'E Balans VL '!I23/100/3.6*1000000</f>
        <v>5.6759265456724473</v>
      </c>
      <c r="F13" s="33">
        <f>C35*'E Balans VL '!L23/100/3.6*1000000+C35*'E Balans VL '!N23/100/3.6*1000000</f>
        <v>33.262608470874881</v>
      </c>
      <c r="G13" s="34"/>
      <c r="H13" s="33"/>
      <c r="I13" s="33"/>
      <c r="J13" s="40">
        <f>C35*'E Balans VL '!D23/100/3.6*1000000+C35*'E Balans VL '!E23/100/3.6*1000000</f>
        <v>88.598257371168273</v>
      </c>
      <c r="K13" s="33"/>
      <c r="L13" s="33"/>
      <c r="M13" s="33"/>
      <c r="N13" s="33">
        <f>C35*'E Balans VL '!Y23/100/3.6*1000000</f>
        <v>322.74331106568178</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24225.274481</v>
      </c>
      <c r="C15" s="33"/>
      <c r="D15" s="37">
        <f>IF( ISERROR(IND_rest_gas_kWh/1000),0,IND_rest_gas_kWh/1000)*0.902</f>
        <v>3546.4583924374001</v>
      </c>
      <c r="E15" s="33">
        <f>C37*'E Balans VL '!I15/100/3.6*1000000</f>
        <v>1314.7756562508969</v>
      </c>
      <c r="F15" s="33">
        <f>C37*'E Balans VL '!L15/100/3.6*1000000+C37*'E Balans VL '!N15/100/3.6*1000000</f>
        <v>5279.9897037472483</v>
      </c>
      <c r="G15" s="34"/>
      <c r="H15" s="33"/>
      <c r="I15" s="33"/>
      <c r="J15" s="40">
        <f>C37*'E Balans VL '!D15/100/3.6*1000000+C37*'E Balans VL '!E15/100/3.6*1000000</f>
        <v>196.39709947346944</v>
      </c>
      <c r="K15" s="33"/>
      <c r="L15" s="33"/>
      <c r="M15" s="33"/>
      <c r="N15" s="33">
        <f>C37*'E Balans VL '!Y15/100/3.6*1000000</f>
        <v>1359.3307730039915</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36553.97959984</v>
      </c>
      <c r="C18" s="21">
        <f>C5+C16</f>
        <v>0</v>
      </c>
      <c r="D18" s="21">
        <f>MAX((D5+D16),0)</f>
        <v>14749.481576685899</v>
      </c>
      <c r="E18" s="21">
        <f>MAX((E5+E16),0)</f>
        <v>2577.2032220968686</v>
      </c>
      <c r="F18" s="21">
        <f>MAX((F5+F16),0)</f>
        <v>10644.823051462128</v>
      </c>
      <c r="G18" s="21"/>
      <c r="H18" s="21"/>
      <c r="I18" s="21"/>
      <c r="J18" s="21">
        <f>MAX((J5+J16),0)</f>
        <v>284.99535684463774</v>
      </c>
      <c r="K18" s="21"/>
      <c r="L18" s="21">
        <f>MAX((L5+L16),0)</f>
        <v>0</v>
      </c>
      <c r="M18" s="21"/>
      <c r="N18" s="21">
        <f>MAX((N5+N16),0)</f>
        <v>4305.1233806208411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0.14830216516321942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5421.0343199884255</v>
      </c>
      <c r="C22" s="23">
        <f ca="1">C18*C20</f>
        <v>0</v>
      </c>
      <c r="D22" s="23">
        <f>D18*D20</f>
        <v>2979.3952784905518</v>
      </c>
      <c r="E22" s="23">
        <f>E18*E20</f>
        <v>585.02513141598922</v>
      </c>
      <c r="F22" s="23">
        <f>F18*F20</f>
        <v>2842.1677547403883</v>
      </c>
      <c r="G22" s="23"/>
      <c r="H22" s="23"/>
      <c r="I22" s="23"/>
      <c r="J22" s="23">
        <f>J18*J20</f>
        <v>100.88835632300176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786.89549913999997</v>
      </c>
      <c r="C30" s="39">
        <f>IF(ISERROR(B30*3.6/1000000/'E Balans VL '!Z18*100),0,B30*3.6/1000000/'E Balans VL '!Z18*100)</f>
        <v>0.16672628567289813</v>
      </c>
      <c r="D30" s="232" t="s">
        <v>621</v>
      </c>
    </row>
    <row r="31" spans="1:18">
      <c r="A31" s="6" t="s">
        <v>32</v>
      </c>
      <c r="B31" s="37">
        <f>IF( ISERROR(IND_ander_ele_kWh/1000),0,IND_ander_ele_kWh/1000)</f>
        <v>4216.0910944999996</v>
      </c>
      <c r="C31" s="39">
        <f>IF(ISERROR(B31*3.6/1000000/'E Balans VL '!Z19*100),0,B31*3.6/1000000/'E Balans VL '!Z19*100)</f>
        <v>0.17746484749856431</v>
      </c>
      <c r="D31" s="232" t="s">
        <v>621</v>
      </c>
    </row>
    <row r="32" spans="1:18">
      <c r="A32" s="167" t="s">
        <v>40</v>
      </c>
      <c r="B32" s="37">
        <f>IF( ISERROR(IND_voed_ele_kWh/1000),0,IND_voed_ele_kWh/1000)</f>
        <v>6002.2604782999997</v>
      </c>
      <c r="C32" s="39">
        <f>IF(ISERROR(B32*3.6/1000000/'E Balans VL '!Z20*100),0,B32*3.6/1000000/'E Balans VL '!Z20*100)</f>
        <v>1.0027455238066407</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1323.4580469</v>
      </c>
      <c r="C35" s="39">
        <f>IF(ISERROR(B35*3.6/1000000/'E Balans VL '!Z22*100),0,B35*3.6/1000000/'E Balans VL '!Z22*100)</f>
        <v>0.16775544483274191</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24225.274481</v>
      </c>
      <c r="C37" s="39">
        <f>IF(ISERROR(B37*3.6/1000000/'E Balans VL '!Z15*100),0,B37*3.6/1000000/'E Balans VL '!Z15*100)</f>
        <v>0.19558002134133348</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5378.0315780799992</v>
      </c>
      <c r="C5" s="17">
        <f>'Eigen informatie GS &amp; warmtenet'!B60</f>
        <v>0</v>
      </c>
      <c r="D5" s="30">
        <f>IF(ISERROR(SUM(LB_lb_gas_kWh,LB_rest_gas_kWh)/1000),0,SUM(LB_lb_gas_kWh,LB_rest_gas_kWh)/1000)*0.902</f>
        <v>333.70106967098002</v>
      </c>
      <c r="E5" s="17">
        <f>B17*'E Balans VL '!I25/3.6*1000000/100</f>
        <v>106.54343070841377</v>
      </c>
      <c r="F5" s="17">
        <f>B17*('E Balans VL '!L25/3.6*1000000+'E Balans VL '!N25/3.6*1000000)/100</f>
        <v>19612.164335969333</v>
      </c>
      <c r="G5" s="18"/>
      <c r="H5" s="17"/>
      <c r="I5" s="17"/>
      <c r="J5" s="17">
        <f>('E Balans VL '!D25+'E Balans VL '!E25)/3.6*1000000*landbouw!B17/100</f>
        <v>1276.9613726275709</v>
      </c>
      <c r="K5" s="17"/>
      <c r="L5" s="17">
        <f>L6*(-1)</f>
        <v>0</v>
      </c>
      <c r="M5" s="17"/>
      <c r="N5" s="17">
        <f>N6*(-1)</f>
        <v>124.71428571428569</v>
      </c>
      <c r="O5" s="17"/>
      <c r="P5" s="17"/>
      <c r="R5" s="32"/>
    </row>
    <row r="6" spans="1:18">
      <c r="A6" s="16" t="s">
        <v>477</v>
      </c>
      <c r="B6" s="17" t="s">
        <v>204</v>
      </c>
      <c r="C6" s="17">
        <f>'lokale energieproductie'!O39+'lokale energieproductie'!O32</f>
        <v>62.357142857142847</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-124.71428571428569</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5378.0315780799992</v>
      </c>
      <c r="C8" s="21">
        <f>C5+C6</f>
        <v>62.357142857142847</v>
      </c>
      <c r="D8" s="21">
        <f>MAX((D5+D6),0)</f>
        <v>333.70106967098002</v>
      </c>
      <c r="E8" s="21">
        <f>MAX((E5+E6),0)</f>
        <v>106.54343070841377</v>
      </c>
      <c r="F8" s="21">
        <f>MAX((F5+F6),0)</f>
        <v>19612.164335969333</v>
      </c>
      <c r="G8" s="21"/>
      <c r="H8" s="21"/>
      <c r="I8" s="21"/>
      <c r="J8" s="21">
        <f>MAX((J5+J6),0)</f>
        <v>1276.9613726275709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0.14830216516321942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797.57372734542969</v>
      </c>
      <c r="C12" s="23">
        <f ca="1">C8*C10</f>
        <v>0</v>
      </c>
      <c r="D12" s="23">
        <f>D8*D10</f>
        <v>67.407616073537966</v>
      </c>
      <c r="E12" s="23">
        <f>E8*E10</f>
        <v>24.185358770809927</v>
      </c>
      <c r="F12" s="23">
        <f>F8*F10</f>
        <v>5236.4478777038121</v>
      </c>
      <c r="G12" s="23"/>
      <c r="H12" s="23"/>
      <c r="I12" s="23"/>
      <c r="J12" s="23">
        <f>J8*J10</f>
        <v>452.04432591016007</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0.75833807579167678</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1175.8206840737998</v>
      </c>
      <c r="C26" s="242">
        <f>B26*'GWP N2O_CH4'!B5</f>
        <v>24692.234365549797</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380.15226426820288</v>
      </c>
      <c r="C27" s="242">
        <f>B27*'GWP N2O_CH4'!B5</f>
        <v>7983.1975496322602</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17.194423219316999</v>
      </c>
      <c r="C28" s="242">
        <f>B28*'GWP N2O_CH4'!B4</f>
        <v>5330.2711979882697</v>
      </c>
      <c r="D28" s="50"/>
    </row>
    <row r="29" spans="1:4">
      <c r="A29" s="41" t="s">
        <v>266</v>
      </c>
      <c r="B29" s="242">
        <f>B34*'ha_N2O bodem landbouw'!B4</f>
        <v>42.767752128972361</v>
      </c>
      <c r="C29" s="242">
        <f>B29*'GWP N2O_CH4'!B4</f>
        <v>13258.003159981432</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9.6250682962751802E-3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2.1338715106901347E-4</v>
      </c>
      <c r="C5" s="427" t="s">
        <v>204</v>
      </c>
      <c r="D5" s="412">
        <f>SUM(D6:D11)</f>
        <v>3.5390071550709643E-4</v>
      </c>
      <c r="E5" s="412">
        <f>SUM(E6:E11)</f>
        <v>1.6100051285684032E-3</v>
      </c>
      <c r="F5" s="425" t="s">
        <v>204</v>
      </c>
      <c r="G5" s="412">
        <f>SUM(G6:G11)</f>
        <v>0.65963555959963704</v>
      </c>
      <c r="H5" s="412">
        <f>SUM(H6:H11)</f>
        <v>0.12235956801637073</v>
      </c>
      <c r="I5" s="427" t="s">
        <v>204</v>
      </c>
      <c r="J5" s="427" t="s">
        <v>204</v>
      </c>
      <c r="K5" s="427" t="s">
        <v>204</v>
      </c>
      <c r="L5" s="427" t="s">
        <v>204</v>
      </c>
      <c r="M5" s="412">
        <f>SUM(M6:M11)</f>
        <v>2.4419199235716789E-2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1.4938981395672417E-4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2.3539792840410146E-4</v>
      </c>
      <c r="E6" s="818">
        <f>vkm_GW_PW*SUMIFS(TableVerdeelsleutelVkm[LPG],TableVerdeelsleutelVkm[Voertuigtype],"Lichte voertuigen")*SUMIFS(TableECFTransport[EnergieConsumptieFactor (PJ per km)],TableECFTransport[Index],CONCATENATE($A6,"_LPG_LPG"))</f>
        <v>1.074536120661954E-3</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0.2901268438316596</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8.1923265353472705E-2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1.1582669593626738E-2</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5.4737647231209191E-6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0.18867445602383404</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3.8330822504314561E-6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5.9357218056526086E-3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4.6228803109165506E-5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1.0319218317604232E-4</v>
      </c>
      <c r="E8" s="415">
        <f>vkm_NGW_PW*SUMIFS(TableVerdeelsleutelVkm[LPG],TableVerdeelsleutelVkm[Voertuigtype],"Lichte voertuigen")*SUMIFS(TableECFTransport[EnergieConsumptieFactor (PJ per km)],TableECFTransport[Index],CONCATENATE($A8,"_LPG_LPG"))</f>
        <v>4.4939076690792338E-4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0.11313200113022132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3.4844372838061466E-2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4.6034401000457185E-3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6.5839770559754411E-7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2.917940059671623E-2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5.565020482297633E-7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9.179864765941503E-4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1.1104962346708087E-5</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1.5310603926952671E-5</v>
      </c>
      <c r="E10" s="415">
        <f>vkm_SW_PW*SUMIFS(TableVerdeelsleutelVkm[LPG],TableVerdeelsleutelVkm[Voertuigtype],"Lichte voertuigen")*SUMIFS(TableECFTransport[EnergieConsumptieFactor (PJ per km)],TableECFTransport[Index],CONCATENATE($A10,"_LPG_LPG"))</f>
        <v>8.6078240998525564E-5</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2.1069302191232705E-2</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5.5871572204576206E-3</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8.3028937480057871E-4</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5.3140922769726071E-7</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1.7453555825973237E-2</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3.8302008026359382E-7</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5.4909188499699651E-4</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59.274208630281514</v>
      </c>
      <c r="C14" s="21"/>
      <c r="D14" s="21">
        <f t="shared" ref="D14:M14" si="0">((D5)*10^9/3600)+D12</f>
        <v>98.305754307526783</v>
      </c>
      <c r="E14" s="21">
        <f t="shared" si="0"/>
        <v>447.22364682455645</v>
      </c>
      <c r="F14" s="21"/>
      <c r="G14" s="21">
        <f t="shared" si="0"/>
        <v>183232.09988878807</v>
      </c>
      <c r="H14" s="21">
        <f t="shared" si="0"/>
        <v>33988.76889343631</v>
      </c>
      <c r="I14" s="21"/>
      <c r="J14" s="21"/>
      <c r="K14" s="21"/>
      <c r="L14" s="21"/>
      <c r="M14" s="21">
        <f t="shared" si="0"/>
        <v>6783.1108988102196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0.14830216516321942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8.7904934782071358</v>
      </c>
      <c r="C18" s="23"/>
      <c r="D18" s="23">
        <f t="shared" ref="D18:M18" si="1">D14*D16</f>
        <v>19.857762370120412</v>
      </c>
      <c r="E18" s="23">
        <f t="shared" si="1"/>
        <v>101.51976782917431</v>
      </c>
      <c r="F18" s="23"/>
      <c r="G18" s="23">
        <f t="shared" si="1"/>
        <v>48922.970670306415</v>
      </c>
      <c r="H18" s="23">
        <f t="shared" si="1"/>
        <v>8463.2034544656417</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2.9006169420394197E-5</v>
      </c>
      <c r="C50" s="311">
        <f t="shared" ref="C50:P50" si="2">SUM(C51:C52)</f>
        <v>0</v>
      </c>
      <c r="D50" s="311">
        <f t="shared" si="2"/>
        <v>0</v>
      </c>
      <c r="E50" s="311">
        <f t="shared" si="2"/>
        <v>0</v>
      </c>
      <c r="F50" s="311">
        <f t="shared" si="2"/>
        <v>0</v>
      </c>
      <c r="G50" s="311">
        <f t="shared" si="2"/>
        <v>5.1718614175645947E-3</v>
      </c>
      <c r="H50" s="311">
        <f t="shared" si="2"/>
        <v>0</v>
      </c>
      <c r="I50" s="311">
        <f t="shared" si="2"/>
        <v>0</v>
      </c>
      <c r="J50" s="311">
        <f t="shared" si="2"/>
        <v>0</v>
      </c>
      <c r="K50" s="311">
        <f t="shared" si="2"/>
        <v>0</v>
      </c>
      <c r="L50" s="311">
        <f t="shared" si="2"/>
        <v>0</v>
      </c>
      <c r="M50" s="311">
        <f t="shared" si="2"/>
        <v>1.6144547438643871E-4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2.9006169420394197E-5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5.1718614175645947E-3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1.6144547438643871E-4</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8.0572692834428334</v>
      </c>
      <c r="C54" s="21">
        <f t="shared" ref="C54:P54" si="3">(C50)*10^9/3600</f>
        <v>0</v>
      </c>
      <c r="D54" s="21">
        <f t="shared" si="3"/>
        <v>0</v>
      </c>
      <c r="E54" s="21">
        <f t="shared" si="3"/>
        <v>0</v>
      </c>
      <c r="F54" s="21">
        <f t="shared" si="3"/>
        <v>0</v>
      </c>
      <c r="G54" s="21">
        <f t="shared" si="3"/>
        <v>1436.6281715457208</v>
      </c>
      <c r="H54" s="21">
        <f t="shared" si="3"/>
        <v>0</v>
      </c>
      <c r="I54" s="21">
        <f t="shared" si="3"/>
        <v>0</v>
      </c>
      <c r="J54" s="21">
        <f t="shared" si="3"/>
        <v>0</v>
      </c>
      <c r="K54" s="21">
        <f t="shared" si="3"/>
        <v>0</v>
      </c>
      <c r="L54" s="21">
        <f t="shared" si="3"/>
        <v>0</v>
      </c>
      <c r="M54" s="21">
        <f t="shared" si="3"/>
        <v>44.845965107344085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0.14830216516321942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1.1949104800376738</v>
      </c>
      <c r="C58" s="23">
        <f t="shared" ref="C58:P58" ca="1" si="4">C54*C56</f>
        <v>0</v>
      </c>
      <c r="D58" s="23">
        <f t="shared" si="4"/>
        <v>0</v>
      </c>
      <c r="E58" s="23">
        <f t="shared" si="4"/>
        <v>0</v>
      </c>
      <c r="F58" s="23">
        <f t="shared" si="4"/>
        <v>0</v>
      </c>
      <c r="G58" s="23">
        <f t="shared" si="4"/>
        <v>383.57972180270747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28398.00584985939</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7738.9455366609964</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43.649999999999991</v>
      </c>
      <c r="C8" s="534">
        <f>B48</f>
        <v>0</v>
      </c>
      <c r="D8" s="961"/>
      <c r="E8" s="961">
        <f>E48</f>
        <v>0</v>
      </c>
      <c r="F8" s="962"/>
      <c r="G8" s="535"/>
      <c r="H8" s="961">
        <f>I48</f>
        <v>0</v>
      </c>
      <c r="I8" s="961">
        <f>G48+F48</f>
        <v>0</v>
      </c>
      <c r="J8" s="961">
        <f>H48+D48+C48</f>
        <v>51.35294117647058</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36180.601386520386</v>
      </c>
      <c r="C10" s="547">
        <f t="shared" ref="C10:L10" si="0">SUM(C8:C9)</f>
        <v>0</v>
      </c>
      <c r="D10" s="547">
        <f t="shared" si="0"/>
        <v>0</v>
      </c>
      <c r="E10" s="547">
        <f t="shared" si="0"/>
        <v>0</v>
      </c>
      <c r="F10" s="547">
        <f t="shared" si="0"/>
        <v>0</v>
      </c>
      <c r="G10" s="547">
        <f t="shared" si="0"/>
        <v>0</v>
      </c>
      <c r="H10" s="547">
        <f t="shared" si="0"/>
        <v>0</v>
      </c>
      <c r="I10" s="547">
        <f t="shared" si="0"/>
        <v>0</v>
      </c>
      <c r="J10" s="547">
        <f t="shared" si="0"/>
        <v>51.35294117647058</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62.357142857142847</v>
      </c>
      <c r="C17" s="559">
        <f>B49</f>
        <v>0</v>
      </c>
      <c r="D17" s="560"/>
      <c r="E17" s="560">
        <f>E49</f>
        <v>0</v>
      </c>
      <c r="F17" s="967"/>
      <c r="G17" s="561"/>
      <c r="H17" s="559">
        <f>I49</f>
        <v>0</v>
      </c>
      <c r="I17" s="560">
        <f>G49+F49</f>
        <v>0</v>
      </c>
      <c r="J17" s="560">
        <f>H49+D49+C49</f>
        <v>73.361344537815114</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62.357142857142847</v>
      </c>
      <c r="C20" s="546">
        <f>SUM(C17:C19)</f>
        <v>0</v>
      </c>
      <c r="D20" s="546">
        <f t="shared" ref="D20:L20" si="1">SUM(D17:D19)</f>
        <v>0</v>
      </c>
      <c r="E20" s="546">
        <f t="shared" si="1"/>
        <v>0</v>
      </c>
      <c r="F20" s="546">
        <f t="shared" si="1"/>
        <v>0</v>
      </c>
      <c r="G20" s="546">
        <f t="shared" si="1"/>
        <v>0</v>
      </c>
      <c r="H20" s="546">
        <f t="shared" si="1"/>
        <v>0</v>
      </c>
      <c r="I20" s="546">
        <f t="shared" si="1"/>
        <v>0</v>
      </c>
      <c r="J20" s="546">
        <f t="shared" si="1"/>
        <v>73.361344537815114</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25.5" hidden="1">
      <c r="A28" s="569"/>
      <c r="B28" s="724">
        <v>43010</v>
      </c>
      <c r="C28" s="724">
        <v>9991</v>
      </c>
      <c r="D28" s="617"/>
      <c r="E28" s="616"/>
      <c r="F28" s="616"/>
      <c r="G28" s="616" t="s">
        <v>887</v>
      </c>
      <c r="H28" s="616" t="s">
        <v>888</v>
      </c>
      <c r="I28" s="616"/>
      <c r="J28" s="723"/>
      <c r="K28" s="723"/>
      <c r="L28" s="616" t="s">
        <v>889</v>
      </c>
      <c r="M28" s="616">
        <v>9.6999999999999993</v>
      </c>
      <c r="N28" s="616">
        <v>43.649999999999991</v>
      </c>
      <c r="O28" s="616">
        <v>62.357142857142847</v>
      </c>
      <c r="P28" s="616">
        <v>0</v>
      </c>
      <c r="Q28" s="616">
        <v>124.71428571428569</v>
      </c>
      <c r="R28" s="616">
        <v>0</v>
      </c>
      <c r="S28" s="616">
        <v>0</v>
      </c>
      <c r="T28" s="616">
        <v>0</v>
      </c>
      <c r="U28" s="616">
        <v>0</v>
      </c>
      <c r="V28" s="616">
        <v>0</v>
      </c>
      <c r="W28" s="616">
        <v>0</v>
      </c>
      <c r="X28" s="616"/>
      <c r="Y28" s="616">
        <v>10</v>
      </c>
      <c r="Z28" s="616" t="s">
        <v>105</v>
      </c>
      <c r="AA28" s="618" t="s">
        <v>105</v>
      </c>
    </row>
    <row r="29" spans="1:27" s="554" customFormat="1" hidden="1">
      <c r="A29" s="572" t="s">
        <v>269</v>
      </c>
      <c r="B29" s="573"/>
      <c r="C29" s="573"/>
      <c r="D29" s="573"/>
      <c r="E29" s="573"/>
      <c r="F29" s="573"/>
      <c r="G29" s="573"/>
      <c r="H29" s="573"/>
      <c r="I29" s="573"/>
      <c r="J29" s="573"/>
      <c r="K29" s="573"/>
      <c r="L29" s="574"/>
      <c r="M29" s="574">
        <f>SUM(M28:M28)</f>
        <v>9.6999999999999993</v>
      </c>
      <c r="N29" s="574">
        <f>SUM(N28:N28)</f>
        <v>43.649999999999991</v>
      </c>
      <c r="O29" s="574">
        <f>SUM(O28:O28)</f>
        <v>62.357142857142847</v>
      </c>
      <c r="P29" s="574">
        <f>SUM(P28:P28)</f>
        <v>0</v>
      </c>
      <c r="Q29" s="574">
        <f>SUM(Q28:Q28)</f>
        <v>124.71428571428569</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9.6999999999999993</v>
      </c>
      <c r="N32" s="579">
        <f>SUMIF($AA$28:$AA$28,"landbouw",N28:N28)</f>
        <v>43.649999999999991</v>
      </c>
      <c r="O32" s="579">
        <f>SUMIF($AA$28:$AA$28,"landbouw",O28:O28)</f>
        <v>62.357142857142847</v>
      </c>
      <c r="P32" s="579">
        <f>SUMIF($AA$28:$AA$28,"landbouw",P28:P28)</f>
        <v>0</v>
      </c>
      <c r="Q32" s="579">
        <f>SUMIF($AA$28:$AA$28,"landbouw",Q28:Q28)</f>
        <v>124.71428571428569</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0.58823529411764708</v>
      </c>
      <c r="C45" s="599">
        <f>IF(ISERROR(N29/(O29+N29)),0,N29/(N29+O29))</f>
        <v>0.41176470588235292</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51.35294117647058</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73.361344537815114</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22801.131182309997</v>
      </c>
      <c r="D10" s="930">
        <f ca="1">tertiair!C16</f>
        <v>0</v>
      </c>
      <c r="E10" s="930">
        <f ca="1">tertiair!D16</f>
        <v>26099.362605358896</v>
      </c>
      <c r="F10" s="930">
        <f>tertiair!E16</f>
        <v>371.13084305901788</v>
      </c>
      <c r="G10" s="930">
        <f ca="1">tertiair!F16</f>
        <v>5061.5026443908191</v>
      </c>
      <c r="H10" s="930">
        <f>tertiair!G16</f>
        <v>0</v>
      </c>
      <c r="I10" s="930">
        <f>tertiair!H16</f>
        <v>0</v>
      </c>
      <c r="J10" s="930">
        <f>tertiair!I16</f>
        <v>0</v>
      </c>
      <c r="K10" s="930">
        <f>tertiair!J16</f>
        <v>4.508742962853915E-2</v>
      </c>
      <c r="L10" s="930">
        <f>tertiair!K16</f>
        <v>0</v>
      </c>
      <c r="M10" s="930">
        <f ca="1">tertiair!L16</f>
        <v>0</v>
      </c>
      <c r="N10" s="930">
        <f>tertiair!M16</f>
        <v>0</v>
      </c>
      <c r="O10" s="930">
        <f ca="1">tertiair!N16</f>
        <v>1598.7455584087072</v>
      </c>
      <c r="P10" s="930">
        <f>tertiair!O16</f>
        <v>12.506666666666668</v>
      </c>
      <c r="Q10" s="931">
        <f>tertiair!P16</f>
        <v>76.266666666666666</v>
      </c>
      <c r="R10" s="628">
        <f ca="1">SUM(C10:Q10)</f>
        <v>56020.691254290403</v>
      </c>
      <c r="S10" s="67"/>
    </row>
    <row r="11" spans="1:19" s="437" customFormat="1">
      <c r="A11" s="736" t="s">
        <v>214</v>
      </c>
      <c r="B11" s="741"/>
      <c r="C11" s="930">
        <f>huishoudens!B8</f>
        <v>43797.469881819765</v>
      </c>
      <c r="D11" s="930">
        <f>huishoudens!C8</f>
        <v>0</v>
      </c>
      <c r="E11" s="930">
        <f>huishoudens!D8</f>
        <v>86619.009678321992</v>
      </c>
      <c r="F11" s="930">
        <f>huishoudens!E8</f>
        <v>2062.0545573423892</v>
      </c>
      <c r="G11" s="930">
        <f>huishoudens!F8</f>
        <v>56063.181841822901</v>
      </c>
      <c r="H11" s="930">
        <f>huishoudens!G8</f>
        <v>0</v>
      </c>
      <c r="I11" s="930">
        <f>huishoudens!H8</f>
        <v>0</v>
      </c>
      <c r="J11" s="930">
        <f>huishoudens!I8</f>
        <v>0</v>
      </c>
      <c r="K11" s="930">
        <f>huishoudens!J8</f>
        <v>1033.9052089984832</v>
      </c>
      <c r="L11" s="930">
        <f>huishoudens!K8</f>
        <v>0</v>
      </c>
      <c r="M11" s="930">
        <f>huishoudens!L8</f>
        <v>0</v>
      </c>
      <c r="N11" s="930">
        <f>huishoudens!M8</f>
        <v>0</v>
      </c>
      <c r="O11" s="930">
        <f>huishoudens!N8</f>
        <v>12906.25057534549</v>
      </c>
      <c r="P11" s="930">
        <f>huishoudens!O8</f>
        <v>464.31000000000006</v>
      </c>
      <c r="Q11" s="931">
        <f>huishoudens!P8</f>
        <v>1639.7333333333333</v>
      </c>
      <c r="R11" s="628">
        <f>SUM(C11:Q11)</f>
        <v>204585.91507698433</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36553.97959984</v>
      </c>
      <c r="D13" s="930">
        <f>industrie!C18</f>
        <v>0</v>
      </c>
      <c r="E13" s="930">
        <f>industrie!D18</f>
        <v>14749.481576685899</v>
      </c>
      <c r="F13" s="930">
        <f>industrie!E18</f>
        <v>2577.2032220968686</v>
      </c>
      <c r="G13" s="930">
        <f>industrie!F18</f>
        <v>10644.823051462128</v>
      </c>
      <c r="H13" s="930">
        <f>industrie!G18</f>
        <v>0</v>
      </c>
      <c r="I13" s="930">
        <f>industrie!H18</f>
        <v>0</v>
      </c>
      <c r="J13" s="930">
        <f>industrie!I18</f>
        <v>0</v>
      </c>
      <c r="K13" s="930">
        <f>industrie!J18</f>
        <v>284.99535684463774</v>
      </c>
      <c r="L13" s="930">
        <f>industrie!K18</f>
        <v>0</v>
      </c>
      <c r="M13" s="930">
        <f>industrie!L18</f>
        <v>0</v>
      </c>
      <c r="N13" s="930">
        <f>industrie!M18</f>
        <v>0</v>
      </c>
      <c r="O13" s="930">
        <f>industrie!N18</f>
        <v>4305.1233806208411</v>
      </c>
      <c r="P13" s="930">
        <f>industrie!O18</f>
        <v>0</v>
      </c>
      <c r="Q13" s="931">
        <f>industrie!P18</f>
        <v>0</v>
      </c>
      <c r="R13" s="628">
        <f>SUM(C13:Q13)</f>
        <v>69115.60618755038</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103152.58066396977</v>
      </c>
      <c r="D16" s="660">
        <f t="shared" ref="D16:R16" ca="1" si="0">SUM(D9:D15)</f>
        <v>0</v>
      </c>
      <c r="E16" s="660">
        <f t="shared" ca="1" si="0"/>
        <v>127467.85386036678</v>
      </c>
      <c r="F16" s="660">
        <f t="shared" si="0"/>
        <v>5010.3886224982762</v>
      </c>
      <c r="G16" s="660">
        <f t="shared" ca="1" si="0"/>
        <v>71769.507537675847</v>
      </c>
      <c r="H16" s="660">
        <f t="shared" si="0"/>
        <v>0</v>
      </c>
      <c r="I16" s="660">
        <f t="shared" si="0"/>
        <v>0</v>
      </c>
      <c r="J16" s="660">
        <f t="shared" si="0"/>
        <v>0</v>
      </c>
      <c r="K16" s="660">
        <f t="shared" si="0"/>
        <v>1318.9456532727495</v>
      </c>
      <c r="L16" s="660">
        <f t="shared" si="0"/>
        <v>0</v>
      </c>
      <c r="M16" s="660">
        <f t="shared" ca="1" si="0"/>
        <v>0</v>
      </c>
      <c r="N16" s="660">
        <f t="shared" si="0"/>
        <v>0</v>
      </c>
      <c r="O16" s="660">
        <f t="shared" ca="1" si="0"/>
        <v>18810.119514375037</v>
      </c>
      <c r="P16" s="660">
        <f t="shared" si="0"/>
        <v>476.81666666666672</v>
      </c>
      <c r="Q16" s="660">
        <f t="shared" si="0"/>
        <v>1716</v>
      </c>
      <c r="R16" s="660">
        <f t="shared" ca="1" si="0"/>
        <v>329722.21251882508</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8.0572692834428334</v>
      </c>
      <c r="D19" s="930">
        <f>transport!C54</f>
        <v>0</v>
      </c>
      <c r="E19" s="930">
        <f>transport!D54</f>
        <v>0</v>
      </c>
      <c r="F19" s="930">
        <f>transport!E54</f>
        <v>0</v>
      </c>
      <c r="G19" s="930">
        <f>transport!F54</f>
        <v>0</v>
      </c>
      <c r="H19" s="930">
        <f>transport!G54</f>
        <v>1436.6281715457208</v>
      </c>
      <c r="I19" s="930">
        <f>transport!H54</f>
        <v>0</v>
      </c>
      <c r="J19" s="930">
        <f>transport!I54</f>
        <v>0</v>
      </c>
      <c r="K19" s="930">
        <f>transport!J54</f>
        <v>0</v>
      </c>
      <c r="L19" s="930">
        <f>transport!K54</f>
        <v>0</v>
      </c>
      <c r="M19" s="930">
        <f>transport!L54</f>
        <v>0</v>
      </c>
      <c r="N19" s="930">
        <f>transport!M54</f>
        <v>44.845965107344085</v>
      </c>
      <c r="O19" s="930">
        <f>transport!N54</f>
        <v>0</v>
      </c>
      <c r="P19" s="930">
        <f>transport!O54</f>
        <v>0</v>
      </c>
      <c r="Q19" s="931">
        <f>transport!P54</f>
        <v>0</v>
      </c>
      <c r="R19" s="628">
        <f>SUM(C19:Q19)</f>
        <v>1489.5314059365076</v>
      </c>
      <c r="S19" s="67"/>
    </row>
    <row r="20" spans="1:19" s="437" customFormat="1">
      <c r="A20" s="736" t="s">
        <v>296</v>
      </c>
      <c r="B20" s="741"/>
      <c r="C20" s="930">
        <f>transport!B14</f>
        <v>59.274208630281514</v>
      </c>
      <c r="D20" s="930">
        <f>transport!C14</f>
        <v>0</v>
      </c>
      <c r="E20" s="930">
        <f>transport!D14</f>
        <v>98.305754307526783</v>
      </c>
      <c r="F20" s="930">
        <f>transport!E14</f>
        <v>447.22364682455645</v>
      </c>
      <c r="G20" s="930">
        <f>transport!F14</f>
        <v>0</v>
      </c>
      <c r="H20" s="930">
        <f>transport!G14</f>
        <v>183232.09988878807</v>
      </c>
      <c r="I20" s="930">
        <f>transport!H14</f>
        <v>33988.76889343631</v>
      </c>
      <c r="J20" s="930">
        <f>transport!I14</f>
        <v>0</v>
      </c>
      <c r="K20" s="930">
        <f>transport!J14</f>
        <v>0</v>
      </c>
      <c r="L20" s="930">
        <f>transport!K14</f>
        <v>0</v>
      </c>
      <c r="M20" s="930">
        <f>transport!L14</f>
        <v>0</v>
      </c>
      <c r="N20" s="930">
        <f>transport!M14</f>
        <v>6783.1108988102196</v>
      </c>
      <c r="O20" s="930">
        <f>transport!N14</f>
        <v>0</v>
      </c>
      <c r="P20" s="930">
        <f>transport!O14</f>
        <v>0</v>
      </c>
      <c r="Q20" s="931">
        <f>transport!P14</f>
        <v>0</v>
      </c>
      <c r="R20" s="628">
        <f>SUM(C20:Q20)</f>
        <v>224608.78329079697</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67.331477913724342</v>
      </c>
      <c r="D22" s="739">
        <f t="shared" ref="D22:R22" si="1">SUM(D18:D21)</f>
        <v>0</v>
      </c>
      <c r="E22" s="739">
        <f t="shared" si="1"/>
        <v>98.305754307526783</v>
      </c>
      <c r="F22" s="739">
        <f t="shared" si="1"/>
        <v>447.22364682455645</v>
      </c>
      <c r="G22" s="739">
        <f t="shared" si="1"/>
        <v>0</v>
      </c>
      <c r="H22" s="739">
        <f t="shared" si="1"/>
        <v>184668.72806033379</v>
      </c>
      <c r="I22" s="739">
        <f t="shared" si="1"/>
        <v>33988.76889343631</v>
      </c>
      <c r="J22" s="739">
        <f t="shared" si="1"/>
        <v>0</v>
      </c>
      <c r="K22" s="739">
        <f t="shared" si="1"/>
        <v>0</v>
      </c>
      <c r="L22" s="739">
        <f t="shared" si="1"/>
        <v>0</v>
      </c>
      <c r="M22" s="739">
        <f t="shared" si="1"/>
        <v>0</v>
      </c>
      <c r="N22" s="739">
        <f t="shared" si="1"/>
        <v>6827.9568639175641</v>
      </c>
      <c r="O22" s="739">
        <f t="shared" si="1"/>
        <v>0</v>
      </c>
      <c r="P22" s="739">
        <f t="shared" si="1"/>
        <v>0</v>
      </c>
      <c r="Q22" s="739">
        <f t="shared" si="1"/>
        <v>0</v>
      </c>
      <c r="R22" s="739">
        <f t="shared" si="1"/>
        <v>226098.31469673349</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5378.0315780799992</v>
      </c>
      <c r="D24" s="930">
        <f>+landbouw!C8</f>
        <v>62.357142857142847</v>
      </c>
      <c r="E24" s="930">
        <f>+landbouw!D8</f>
        <v>333.70106967098002</v>
      </c>
      <c r="F24" s="930">
        <f>+landbouw!E8</f>
        <v>106.54343070841377</v>
      </c>
      <c r="G24" s="930">
        <f>+landbouw!F8</f>
        <v>19612.164335969333</v>
      </c>
      <c r="H24" s="930">
        <f>+landbouw!G8</f>
        <v>0</v>
      </c>
      <c r="I24" s="930">
        <f>+landbouw!H8</f>
        <v>0</v>
      </c>
      <c r="J24" s="930">
        <f>+landbouw!I8</f>
        <v>0</v>
      </c>
      <c r="K24" s="930">
        <f>+landbouw!J8</f>
        <v>1276.9613726275709</v>
      </c>
      <c r="L24" s="930">
        <f>+landbouw!K8</f>
        <v>0</v>
      </c>
      <c r="M24" s="930">
        <f>+landbouw!L8</f>
        <v>0</v>
      </c>
      <c r="N24" s="930">
        <f>+landbouw!M8</f>
        <v>0</v>
      </c>
      <c r="O24" s="930">
        <f>+landbouw!N8</f>
        <v>0</v>
      </c>
      <c r="P24" s="930">
        <f>+landbouw!O8</f>
        <v>0</v>
      </c>
      <c r="Q24" s="931">
        <f>+landbouw!P8</f>
        <v>0</v>
      </c>
      <c r="R24" s="628">
        <f>SUM(C24:Q24)</f>
        <v>26769.758929913442</v>
      </c>
      <c r="S24" s="67"/>
    </row>
    <row r="25" spans="1:19" s="437" customFormat="1" ht="15" thickBot="1">
      <c r="A25" s="758" t="s">
        <v>788</v>
      </c>
      <c r="B25" s="933"/>
      <c r="C25" s="934">
        <f>IF(Onbekend_ele_kWh="---",0,Onbekend_ele_kWh)/1000+IF(REST_rest_ele_kWh="---",0,REST_rest_ele_kWh)/1000</f>
        <v>1390.3788259999999</v>
      </c>
      <c r="D25" s="934"/>
      <c r="E25" s="934">
        <f>IF(onbekend_gas_kWh="---",0,onbekend_gas_kWh)/1000+IF(REST_rest_gas_kWh="---",0,REST_rest_gas_kWh)/1000</f>
        <v>2209.6709839</v>
      </c>
      <c r="F25" s="934"/>
      <c r="G25" s="934"/>
      <c r="H25" s="934"/>
      <c r="I25" s="934"/>
      <c r="J25" s="934"/>
      <c r="K25" s="934"/>
      <c r="L25" s="934"/>
      <c r="M25" s="934"/>
      <c r="N25" s="934"/>
      <c r="O25" s="934"/>
      <c r="P25" s="934"/>
      <c r="Q25" s="935"/>
      <c r="R25" s="628">
        <f>SUM(C25:Q25)</f>
        <v>3600.0498098999997</v>
      </c>
      <c r="S25" s="67"/>
    </row>
    <row r="26" spans="1:19" s="437" customFormat="1" ht="15.75" thickBot="1">
      <c r="A26" s="633" t="s">
        <v>789</v>
      </c>
      <c r="B26" s="744"/>
      <c r="C26" s="739">
        <f>SUM(C24:C25)</f>
        <v>6768.4104040799994</v>
      </c>
      <c r="D26" s="739">
        <f t="shared" ref="D26:R26" si="2">SUM(D24:D25)</f>
        <v>62.357142857142847</v>
      </c>
      <c r="E26" s="739">
        <f t="shared" si="2"/>
        <v>2543.3720535709799</v>
      </c>
      <c r="F26" s="739">
        <f t="shared" si="2"/>
        <v>106.54343070841377</v>
      </c>
      <c r="G26" s="739">
        <f t="shared" si="2"/>
        <v>19612.164335969333</v>
      </c>
      <c r="H26" s="739">
        <f t="shared" si="2"/>
        <v>0</v>
      </c>
      <c r="I26" s="739">
        <f t="shared" si="2"/>
        <v>0</v>
      </c>
      <c r="J26" s="739">
        <f t="shared" si="2"/>
        <v>0</v>
      </c>
      <c r="K26" s="739">
        <f t="shared" si="2"/>
        <v>1276.9613726275709</v>
      </c>
      <c r="L26" s="739">
        <f t="shared" si="2"/>
        <v>0</v>
      </c>
      <c r="M26" s="739">
        <f t="shared" si="2"/>
        <v>0</v>
      </c>
      <c r="N26" s="739">
        <f t="shared" si="2"/>
        <v>0</v>
      </c>
      <c r="O26" s="739">
        <f t="shared" si="2"/>
        <v>0</v>
      </c>
      <c r="P26" s="739">
        <f t="shared" si="2"/>
        <v>0</v>
      </c>
      <c r="Q26" s="739">
        <f t="shared" si="2"/>
        <v>0</v>
      </c>
      <c r="R26" s="739">
        <f t="shared" si="2"/>
        <v>30369.808739813441</v>
      </c>
      <c r="S26" s="67"/>
    </row>
    <row r="27" spans="1:19" s="437" customFormat="1" ht="17.25" thickTop="1" thickBot="1">
      <c r="A27" s="634" t="s">
        <v>109</v>
      </c>
      <c r="B27" s="732"/>
      <c r="C27" s="635">
        <f ca="1">C22+C16+C26</f>
        <v>109988.3225459635</v>
      </c>
      <c r="D27" s="635">
        <f t="shared" ref="D27:R27" ca="1" si="3">D22+D16+D26</f>
        <v>62.357142857142847</v>
      </c>
      <c r="E27" s="635">
        <f t="shared" ca="1" si="3"/>
        <v>130109.5316682453</v>
      </c>
      <c r="F27" s="635">
        <f t="shared" si="3"/>
        <v>5564.1557000312459</v>
      </c>
      <c r="G27" s="635">
        <f t="shared" ca="1" si="3"/>
        <v>91381.671873645188</v>
      </c>
      <c r="H27" s="635">
        <f t="shared" si="3"/>
        <v>184668.72806033379</v>
      </c>
      <c r="I27" s="635">
        <f t="shared" si="3"/>
        <v>33988.76889343631</v>
      </c>
      <c r="J27" s="635">
        <f t="shared" si="3"/>
        <v>0</v>
      </c>
      <c r="K27" s="635">
        <f t="shared" si="3"/>
        <v>2595.9070259003201</v>
      </c>
      <c r="L27" s="635">
        <f t="shared" si="3"/>
        <v>0</v>
      </c>
      <c r="M27" s="635">
        <f t="shared" ca="1" si="3"/>
        <v>0</v>
      </c>
      <c r="N27" s="635">
        <f t="shared" si="3"/>
        <v>6827.9568639175641</v>
      </c>
      <c r="O27" s="635">
        <f t="shared" ca="1" si="3"/>
        <v>18810.119514375037</v>
      </c>
      <c r="P27" s="635">
        <f t="shared" si="3"/>
        <v>476.81666666666672</v>
      </c>
      <c r="Q27" s="635">
        <f t="shared" si="3"/>
        <v>1716</v>
      </c>
      <c r="R27" s="635">
        <f t="shared" ca="1" si="3"/>
        <v>586190.33595537196</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3381.45712250717</v>
      </c>
      <c r="D40" s="930">
        <f ca="1">tertiair!C20</f>
        <v>0</v>
      </c>
      <c r="E40" s="930">
        <f ca="1">tertiair!D20</f>
        <v>5272.0712462824977</v>
      </c>
      <c r="F40" s="930">
        <f>tertiair!E20</f>
        <v>84.246701374397063</v>
      </c>
      <c r="G40" s="930">
        <f ca="1">tertiair!F20</f>
        <v>1351.4212060523487</v>
      </c>
      <c r="H40" s="930">
        <f>tertiair!G20</f>
        <v>0</v>
      </c>
      <c r="I40" s="930">
        <f>tertiair!H20</f>
        <v>0</v>
      </c>
      <c r="J40" s="930">
        <f>tertiair!I20</f>
        <v>0</v>
      </c>
      <c r="K40" s="930">
        <f>tertiair!J20</f>
        <v>1.5960950088502859E-2</v>
      </c>
      <c r="L40" s="930">
        <f>tertiair!K20</f>
        <v>0</v>
      </c>
      <c r="M40" s="930">
        <f ca="1">tertiair!L20</f>
        <v>0</v>
      </c>
      <c r="N40" s="930">
        <f>tertiair!M20</f>
        <v>0</v>
      </c>
      <c r="O40" s="930">
        <f ca="1">tertiair!N20</f>
        <v>0</v>
      </c>
      <c r="P40" s="930">
        <f>tertiair!O20</f>
        <v>0</v>
      </c>
      <c r="Q40" s="702">
        <f>tertiair!P20</f>
        <v>0</v>
      </c>
      <c r="R40" s="777">
        <f t="shared" ca="1" si="4"/>
        <v>10089.212237166503</v>
      </c>
    </row>
    <row r="41" spans="1:18">
      <c r="A41" s="749" t="s">
        <v>214</v>
      </c>
      <c r="B41" s="756"/>
      <c r="C41" s="930">
        <f ca="1">huishoudens!B12</f>
        <v>6495.2596121447632</v>
      </c>
      <c r="D41" s="930">
        <f ca="1">huishoudens!C12</f>
        <v>0</v>
      </c>
      <c r="E41" s="930">
        <f>huishoudens!D12</f>
        <v>17497.039955021042</v>
      </c>
      <c r="F41" s="930">
        <f>huishoudens!E12</f>
        <v>468.08638451672238</v>
      </c>
      <c r="G41" s="930">
        <f>huishoudens!F12</f>
        <v>14968.869551766715</v>
      </c>
      <c r="H41" s="930">
        <f>huishoudens!G12</f>
        <v>0</v>
      </c>
      <c r="I41" s="930">
        <f>huishoudens!H12</f>
        <v>0</v>
      </c>
      <c r="J41" s="930">
        <f>huishoudens!I12</f>
        <v>0</v>
      </c>
      <c r="K41" s="930">
        <f>huishoudens!J12</f>
        <v>366.00244398546306</v>
      </c>
      <c r="L41" s="930">
        <f>huishoudens!K12</f>
        <v>0</v>
      </c>
      <c r="M41" s="930">
        <f>huishoudens!L12</f>
        <v>0</v>
      </c>
      <c r="N41" s="930">
        <f>huishoudens!M12</f>
        <v>0</v>
      </c>
      <c r="O41" s="930">
        <f>huishoudens!N12</f>
        <v>0</v>
      </c>
      <c r="P41" s="930">
        <f>huishoudens!O12</f>
        <v>0</v>
      </c>
      <c r="Q41" s="702">
        <f>huishoudens!P12</f>
        <v>0</v>
      </c>
      <c r="R41" s="777">
        <f t="shared" ca="1" si="4"/>
        <v>39795.2579474347</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5421.0343199884255</v>
      </c>
      <c r="D43" s="930">
        <f ca="1">industrie!C22</f>
        <v>0</v>
      </c>
      <c r="E43" s="930">
        <f>industrie!D22</f>
        <v>2979.3952784905518</v>
      </c>
      <c r="F43" s="930">
        <f>industrie!E22</f>
        <v>585.02513141598922</v>
      </c>
      <c r="G43" s="930">
        <f>industrie!F22</f>
        <v>2842.1677547403883</v>
      </c>
      <c r="H43" s="930">
        <f>industrie!G22</f>
        <v>0</v>
      </c>
      <c r="I43" s="930">
        <f>industrie!H22</f>
        <v>0</v>
      </c>
      <c r="J43" s="930">
        <f>industrie!I22</f>
        <v>0</v>
      </c>
      <c r="K43" s="930">
        <f>industrie!J22</f>
        <v>100.88835632300176</v>
      </c>
      <c r="L43" s="930">
        <f>industrie!K22</f>
        <v>0</v>
      </c>
      <c r="M43" s="930">
        <f>industrie!L22</f>
        <v>0</v>
      </c>
      <c r="N43" s="930">
        <f>industrie!M22</f>
        <v>0</v>
      </c>
      <c r="O43" s="930">
        <f>industrie!N22</f>
        <v>0</v>
      </c>
      <c r="P43" s="930">
        <f>industrie!O22</f>
        <v>0</v>
      </c>
      <c r="Q43" s="702">
        <f>industrie!P22</f>
        <v>0</v>
      </c>
      <c r="R43" s="776">
        <f t="shared" ca="1" si="4"/>
        <v>11928.510840958355</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15297.751054640357</v>
      </c>
      <c r="D46" s="660">
        <f t="shared" ref="D46:Q46" ca="1" si="5">SUM(D39:D45)</f>
        <v>0</v>
      </c>
      <c r="E46" s="660">
        <f t="shared" ca="1" si="5"/>
        <v>25748.50647979409</v>
      </c>
      <c r="F46" s="660">
        <f t="shared" si="5"/>
        <v>1137.3582173071086</v>
      </c>
      <c r="G46" s="660">
        <f t="shared" ca="1" si="5"/>
        <v>19162.458512559453</v>
      </c>
      <c r="H46" s="660">
        <f t="shared" si="5"/>
        <v>0</v>
      </c>
      <c r="I46" s="660">
        <f t="shared" si="5"/>
        <v>0</v>
      </c>
      <c r="J46" s="660">
        <f t="shared" si="5"/>
        <v>0</v>
      </c>
      <c r="K46" s="660">
        <f t="shared" si="5"/>
        <v>466.90676125855333</v>
      </c>
      <c r="L46" s="660">
        <f t="shared" si="5"/>
        <v>0</v>
      </c>
      <c r="M46" s="660">
        <f t="shared" ca="1" si="5"/>
        <v>0</v>
      </c>
      <c r="N46" s="660">
        <f t="shared" si="5"/>
        <v>0</v>
      </c>
      <c r="O46" s="660">
        <f t="shared" ca="1" si="5"/>
        <v>0</v>
      </c>
      <c r="P46" s="660">
        <f t="shared" si="5"/>
        <v>0</v>
      </c>
      <c r="Q46" s="660">
        <f t="shared" si="5"/>
        <v>0</v>
      </c>
      <c r="R46" s="660">
        <f ca="1">SUM(R39:R45)</f>
        <v>61812.981025559558</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1.1949104800376738</v>
      </c>
      <c r="D49" s="930">
        <f ca="1">transport!C58</f>
        <v>0</v>
      </c>
      <c r="E49" s="930">
        <f>transport!D58</f>
        <v>0</v>
      </c>
      <c r="F49" s="930">
        <f>transport!E58</f>
        <v>0</v>
      </c>
      <c r="G49" s="930">
        <f>transport!F58</f>
        <v>0</v>
      </c>
      <c r="H49" s="930">
        <f>transport!G58</f>
        <v>383.57972180270747</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384.77463228274513</v>
      </c>
    </row>
    <row r="50" spans="1:18">
      <c r="A50" s="752" t="s">
        <v>296</v>
      </c>
      <c r="B50" s="762"/>
      <c r="C50" s="631">
        <f ca="1">transport!B18</f>
        <v>8.7904934782071358</v>
      </c>
      <c r="D50" s="631">
        <f>transport!C18</f>
        <v>0</v>
      </c>
      <c r="E50" s="631">
        <f>transport!D18</f>
        <v>19.857762370120412</v>
      </c>
      <c r="F50" s="631">
        <f>transport!E18</f>
        <v>101.51976782917431</v>
      </c>
      <c r="G50" s="631">
        <f>transport!F18</f>
        <v>0</v>
      </c>
      <c r="H50" s="631">
        <f>transport!G18</f>
        <v>48922.970670306415</v>
      </c>
      <c r="I50" s="631">
        <f>transport!H18</f>
        <v>8463.2034544656417</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57516.342148449556</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9.9854039582448095</v>
      </c>
      <c r="D52" s="660">
        <f t="shared" ref="D52:Q52" ca="1" si="6">SUM(D48:D51)</f>
        <v>0</v>
      </c>
      <c r="E52" s="660">
        <f t="shared" si="6"/>
        <v>19.857762370120412</v>
      </c>
      <c r="F52" s="660">
        <f t="shared" si="6"/>
        <v>101.51976782917431</v>
      </c>
      <c r="G52" s="660">
        <f t="shared" si="6"/>
        <v>0</v>
      </c>
      <c r="H52" s="660">
        <f t="shared" si="6"/>
        <v>49306.550392109122</v>
      </c>
      <c r="I52" s="660">
        <f t="shared" si="6"/>
        <v>8463.2034544656417</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57901.1167807323</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797.57372734542969</v>
      </c>
      <c r="D54" s="631">
        <f ca="1">+landbouw!C12</f>
        <v>0</v>
      </c>
      <c r="E54" s="631">
        <f>+landbouw!D12</f>
        <v>67.407616073537966</v>
      </c>
      <c r="F54" s="631">
        <f>+landbouw!E12</f>
        <v>24.185358770809927</v>
      </c>
      <c r="G54" s="631">
        <f>+landbouw!F12</f>
        <v>5236.4478777038121</v>
      </c>
      <c r="H54" s="631">
        <f>+landbouw!G12</f>
        <v>0</v>
      </c>
      <c r="I54" s="631">
        <f>+landbouw!H12</f>
        <v>0</v>
      </c>
      <c r="J54" s="631">
        <f>+landbouw!I12</f>
        <v>0</v>
      </c>
      <c r="K54" s="631">
        <f>+landbouw!J12</f>
        <v>452.04432591016007</v>
      </c>
      <c r="L54" s="631">
        <f>+landbouw!K12</f>
        <v>0</v>
      </c>
      <c r="M54" s="631">
        <f>+landbouw!L12</f>
        <v>0</v>
      </c>
      <c r="N54" s="631">
        <f>+landbouw!M12</f>
        <v>0</v>
      </c>
      <c r="O54" s="631">
        <f>+landbouw!N12</f>
        <v>0</v>
      </c>
      <c r="P54" s="631">
        <f>+landbouw!O12</f>
        <v>0</v>
      </c>
      <c r="Q54" s="632">
        <f>+landbouw!P12</f>
        <v>0</v>
      </c>
      <c r="R54" s="659">
        <f ca="1">SUM(C54:Q54)</f>
        <v>6577.6589058037498</v>
      </c>
    </row>
    <row r="55" spans="1:18" ht="15" thickBot="1">
      <c r="A55" s="752" t="s">
        <v>788</v>
      </c>
      <c r="B55" s="762"/>
      <c r="C55" s="631">
        <f ca="1">C25*'EF ele_warmte'!B12</f>
        <v>206.1961902928951</v>
      </c>
      <c r="D55" s="631"/>
      <c r="E55" s="631">
        <f>E25*EF_CO2_aardgas</f>
        <v>446.35353874780003</v>
      </c>
      <c r="F55" s="631"/>
      <c r="G55" s="631"/>
      <c r="H55" s="631"/>
      <c r="I55" s="631"/>
      <c r="J55" s="631"/>
      <c r="K55" s="631"/>
      <c r="L55" s="631"/>
      <c r="M55" s="631"/>
      <c r="N55" s="631"/>
      <c r="O55" s="631"/>
      <c r="P55" s="631"/>
      <c r="Q55" s="632"/>
      <c r="R55" s="659">
        <f ca="1">SUM(C55:Q55)</f>
        <v>652.54972904069518</v>
      </c>
    </row>
    <row r="56" spans="1:18" ht="15.75" thickBot="1">
      <c r="A56" s="750" t="s">
        <v>789</v>
      </c>
      <c r="B56" s="763"/>
      <c r="C56" s="660">
        <f ca="1">SUM(C54:C55)</f>
        <v>1003.7699176383248</v>
      </c>
      <c r="D56" s="660">
        <f t="shared" ref="D56:Q56" ca="1" si="7">SUM(D54:D55)</f>
        <v>0</v>
      </c>
      <c r="E56" s="660">
        <f t="shared" si="7"/>
        <v>513.76115482133798</v>
      </c>
      <c r="F56" s="660">
        <f t="shared" si="7"/>
        <v>24.185358770809927</v>
      </c>
      <c r="G56" s="660">
        <f t="shared" si="7"/>
        <v>5236.4478777038121</v>
      </c>
      <c r="H56" s="660">
        <f t="shared" si="7"/>
        <v>0</v>
      </c>
      <c r="I56" s="660">
        <f t="shared" si="7"/>
        <v>0</v>
      </c>
      <c r="J56" s="660">
        <f t="shared" si="7"/>
        <v>0</v>
      </c>
      <c r="K56" s="660">
        <f t="shared" si="7"/>
        <v>452.04432591016007</v>
      </c>
      <c r="L56" s="660">
        <f t="shared" si="7"/>
        <v>0</v>
      </c>
      <c r="M56" s="660">
        <f t="shared" si="7"/>
        <v>0</v>
      </c>
      <c r="N56" s="660">
        <f t="shared" si="7"/>
        <v>0</v>
      </c>
      <c r="O56" s="660">
        <f t="shared" si="7"/>
        <v>0</v>
      </c>
      <c r="P56" s="660">
        <f t="shared" si="7"/>
        <v>0</v>
      </c>
      <c r="Q56" s="661">
        <f t="shared" si="7"/>
        <v>0</v>
      </c>
      <c r="R56" s="662">
        <f ca="1">SUM(R54:R55)</f>
        <v>7230.2086348444445</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16311.506376236926</v>
      </c>
      <c r="D61" s="668">
        <f t="shared" ref="D61:Q61" ca="1" si="8">D46+D52+D56</f>
        <v>0</v>
      </c>
      <c r="E61" s="668">
        <f t="shared" ca="1" si="8"/>
        <v>26282.12539698555</v>
      </c>
      <c r="F61" s="668">
        <f t="shared" si="8"/>
        <v>1263.0633439070928</v>
      </c>
      <c r="G61" s="668">
        <f t="shared" ca="1" si="8"/>
        <v>24398.906390263266</v>
      </c>
      <c r="H61" s="668">
        <f t="shared" si="8"/>
        <v>49306.550392109122</v>
      </c>
      <c r="I61" s="668">
        <f t="shared" si="8"/>
        <v>8463.2034544656417</v>
      </c>
      <c r="J61" s="668">
        <f t="shared" si="8"/>
        <v>0</v>
      </c>
      <c r="K61" s="668">
        <f t="shared" si="8"/>
        <v>918.95108716871346</v>
      </c>
      <c r="L61" s="668">
        <f t="shared" si="8"/>
        <v>0</v>
      </c>
      <c r="M61" s="668">
        <f t="shared" ca="1" si="8"/>
        <v>0</v>
      </c>
      <c r="N61" s="668">
        <f t="shared" si="8"/>
        <v>0</v>
      </c>
      <c r="O61" s="668">
        <f t="shared" ca="1" si="8"/>
        <v>0</v>
      </c>
      <c r="P61" s="668">
        <f t="shared" si="8"/>
        <v>0</v>
      </c>
      <c r="Q61" s="668">
        <f t="shared" si="8"/>
        <v>0</v>
      </c>
      <c r="R61" s="668">
        <f ca="1">R46+R52+R56</f>
        <v>126944.3064411363</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0.1483021651632194</v>
      </c>
      <c r="D63" s="709">
        <f t="shared" ca="1" si="9"/>
        <v>0</v>
      </c>
      <c r="E63" s="941">
        <f t="shared" ca="1" si="9"/>
        <v>0.20199999999999999</v>
      </c>
      <c r="F63" s="709">
        <f t="shared" si="9"/>
        <v>0.22699999999999998</v>
      </c>
      <c r="G63" s="709">
        <f t="shared" ca="1" si="9"/>
        <v>0.26700000000000002</v>
      </c>
      <c r="H63" s="709">
        <f t="shared" si="9"/>
        <v>0.26700000000000002</v>
      </c>
      <c r="I63" s="709">
        <f t="shared" si="9"/>
        <v>0.249</v>
      </c>
      <c r="J63" s="709">
        <f t="shared" si="9"/>
        <v>0</v>
      </c>
      <c r="K63" s="709">
        <f t="shared" si="9"/>
        <v>0.35400000000000004</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28398.00584985939</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7738.9455366609964</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43.649999999999991</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51.35294117647058</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36180.601386520386</v>
      </c>
      <c r="C78" s="683">
        <f>SUM(C72:C77)</f>
        <v>0</v>
      </c>
      <c r="D78" s="684">
        <f t="shared" ref="D78:H78" si="10">SUM(D76:D77)</f>
        <v>0</v>
      </c>
      <c r="E78" s="684">
        <f t="shared" si="10"/>
        <v>0</v>
      </c>
      <c r="F78" s="684">
        <f t="shared" si="10"/>
        <v>0</v>
      </c>
      <c r="G78" s="684">
        <f t="shared" si="10"/>
        <v>0</v>
      </c>
      <c r="H78" s="684">
        <f t="shared" si="10"/>
        <v>0</v>
      </c>
      <c r="I78" s="684">
        <f>SUM(I76:I77)</f>
        <v>0</v>
      </c>
      <c r="J78" s="684">
        <f>SUM(J76:J77)</f>
        <v>51.35294117647058</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62.357142857142847</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73.361344537815114</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62.357142857142847</v>
      </c>
      <c r="C90" s="683">
        <f>SUM(C87:C89)</f>
        <v>0</v>
      </c>
      <c r="D90" s="683">
        <f t="shared" ref="D90:H90" si="12">SUM(D87:D89)</f>
        <v>0</v>
      </c>
      <c r="E90" s="683">
        <f t="shared" si="12"/>
        <v>0</v>
      </c>
      <c r="F90" s="683">
        <f t="shared" si="12"/>
        <v>0</v>
      </c>
      <c r="G90" s="683">
        <f t="shared" si="12"/>
        <v>0</v>
      </c>
      <c r="H90" s="683">
        <f t="shared" si="12"/>
        <v>0</v>
      </c>
      <c r="I90" s="683">
        <f>SUM(I87:I89)</f>
        <v>0</v>
      </c>
      <c r="J90" s="683">
        <f>SUM(J87:J89)</f>
        <v>73.361344537815114</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43797.469881819765</v>
      </c>
      <c r="C4" s="441">
        <f>huishoudens!C8</f>
        <v>0</v>
      </c>
      <c r="D4" s="441">
        <f>huishoudens!D8</f>
        <v>86619.009678321992</v>
      </c>
      <c r="E4" s="441">
        <f>huishoudens!E8</f>
        <v>2062.0545573423892</v>
      </c>
      <c r="F4" s="441">
        <f>huishoudens!F8</f>
        <v>56063.181841822901</v>
      </c>
      <c r="G4" s="441">
        <f>huishoudens!G8</f>
        <v>0</v>
      </c>
      <c r="H4" s="441">
        <f>huishoudens!H8</f>
        <v>0</v>
      </c>
      <c r="I4" s="441">
        <f>huishoudens!I8</f>
        <v>0</v>
      </c>
      <c r="J4" s="441">
        <f>huishoudens!J8</f>
        <v>1033.9052089984832</v>
      </c>
      <c r="K4" s="441">
        <f>huishoudens!K8</f>
        <v>0</v>
      </c>
      <c r="L4" s="441">
        <f>huishoudens!L8</f>
        <v>0</v>
      </c>
      <c r="M4" s="441">
        <f>huishoudens!M8</f>
        <v>0</v>
      </c>
      <c r="N4" s="441">
        <f>huishoudens!N8</f>
        <v>12906.25057534549</v>
      </c>
      <c r="O4" s="441">
        <f>huishoudens!O8</f>
        <v>464.31000000000006</v>
      </c>
      <c r="P4" s="442">
        <f>huishoudens!P8</f>
        <v>1639.7333333333333</v>
      </c>
      <c r="Q4" s="443">
        <f>SUM(B4:P4)</f>
        <v>204585.91507698433</v>
      </c>
    </row>
    <row r="5" spans="1:17">
      <c r="A5" s="440" t="s">
        <v>149</v>
      </c>
      <c r="B5" s="441">
        <f ca="1">tertiair!B16</f>
        <v>21266.943182309999</v>
      </c>
      <c r="C5" s="441">
        <f ca="1">tertiair!C16</f>
        <v>0</v>
      </c>
      <c r="D5" s="441">
        <f ca="1">tertiair!D16</f>
        <v>26099.362605358896</v>
      </c>
      <c r="E5" s="441">
        <f>tertiair!E16</f>
        <v>371.13084305901788</v>
      </c>
      <c r="F5" s="441">
        <f ca="1">tertiair!F16</f>
        <v>5061.5026443908191</v>
      </c>
      <c r="G5" s="441">
        <f>tertiair!G16</f>
        <v>0</v>
      </c>
      <c r="H5" s="441">
        <f>tertiair!H16</f>
        <v>0</v>
      </c>
      <c r="I5" s="441">
        <f>tertiair!I16</f>
        <v>0</v>
      </c>
      <c r="J5" s="441">
        <f>tertiair!J16</f>
        <v>4.508742962853915E-2</v>
      </c>
      <c r="K5" s="441">
        <f>tertiair!K16</f>
        <v>0</v>
      </c>
      <c r="L5" s="441">
        <f ca="1">tertiair!L16</f>
        <v>0</v>
      </c>
      <c r="M5" s="441">
        <f>tertiair!M16</f>
        <v>0</v>
      </c>
      <c r="N5" s="441">
        <f ca="1">tertiair!N16</f>
        <v>1598.7455584087072</v>
      </c>
      <c r="O5" s="441">
        <f>tertiair!O16</f>
        <v>12.506666666666668</v>
      </c>
      <c r="P5" s="442">
        <f>tertiair!P16</f>
        <v>76.266666666666666</v>
      </c>
      <c r="Q5" s="440">
        <f t="shared" ref="Q5:Q14" ca="1" si="0">SUM(B5:P5)</f>
        <v>54486.503254290408</v>
      </c>
    </row>
    <row r="6" spans="1:17">
      <c r="A6" s="440" t="s">
        <v>187</v>
      </c>
      <c r="B6" s="441">
        <f>'openbare verlichting'!B8</f>
        <v>1534.1880000000001</v>
      </c>
      <c r="C6" s="441"/>
      <c r="D6" s="441"/>
      <c r="E6" s="441"/>
      <c r="F6" s="441"/>
      <c r="G6" s="441"/>
      <c r="H6" s="441"/>
      <c r="I6" s="441"/>
      <c r="J6" s="441"/>
      <c r="K6" s="441"/>
      <c r="L6" s="441"/>
      <c r="M6" s="441"/>
      <c r="N6" s="441"/>
      <c r="O6" s="441"/>
      <c r="P6" s="442"/>
      <c r="Q6" s="440">
        <f t="shared" si="0"/>
        <v>1534.1880000000001</v>
      </c>
    </row>
    <row r="7" spans="1:17">
      <c r="A7" s="440" t="s">
        <v>105</v>
      </c>
      <c r="B7" s="441">
        <f>landbouw!B8</f>
        <v>5378.0315780799992</v>
      </c>
      <c r="C7" s="441">
        <f>landbouw!C8</f>
        <v>62.357142857142847</v>
      </c>
      <c r="D7" s="441">
        <f>landbouw!D8</f>
        <v>333.70106967098002</v>
      </c>
      <c r="E7" s="441">
        <f>landbouw!E8</f>
        <v>106.54343070841377</v>
      </c>
      <c r="F7" s="441">
        <f>landbouw!F8</f>
        <v>19612.164335969333</v>
      </c>
      <c r="G7" s="441">
        <f>landbouw!G8</f>
        <v>0</v>
      </c>
      <c r="H7" s="441">
        <f>landbouw!H8</f>
        <v>0</v>
      </c>
      <c r="I7" s="441">
        <f>landbouw!I8</f>
        <v>0</v>
      </c>
      <c r="J7" s="441">
        <f>landbouw!J8</f>
        <v>1276.9613726275709</v>
      </c>
      <c r="K7" s="441">
        <f>landbouw!K8</f>
        <v>0</v>
      </c>
      <c r="L7" s="441">
        <f>landbouw!L8</f>
        <v>0</v>
      </c>
      <c r="M7" s="441">
        <f>landbouw!M8</f>
        <v>0</v>
      </c>
      <c r="N7" s="441">
        <f>landbouw!N8</f>
        <v>0</v>
      </c>
      <c r="O7" s="441">
        <f>landbouw!O8</f>
        <v>0</v>
      </c>
      <c r="P7" s="442">
        <f>landbouw!P8</f>
        <v>0</v>
      </c>
      <c r="Q7" s="440">
        <f t="shared" si="0"/>
        <v>26769.758929913442</v>
      </c>
    </row>
    <row r="8" spans="1:17">
      <c r="A8" s="440" t="s">
        <v>600</v>
      </c>
      <c r="B8" s="441">
        <f>industrie!B18</f>
        <v>36553.97959984</v>
      </c>
      <c r="C8" s="441">
        <f>industrie!C18</f>
        <v>0</v>
      </c>
      <c r="D8" s="441">
        <f>industrie!D18</f>
        <v>14749.481576685899</v>
      </c>
      <c r="E8" s="441">
        <f>industrie!E18</f>
        <v>2577.2032220968686</v>
      </c>
      <c r="F8" s="441">
        <f>industrie!F18</f>
        <v>10644.823051462128</v>
      </c>
      <c r="G8" s="441">
        <f>industrie!G18</f>
        <v>0</v>
      </c>
      <c r="H8" s="441">
        <f>industrie!H18</f>
        <v>0</v>
      </c>
      <c r="I8" s="441">
        <f>industrie!I18</f>
        <v>0</v>
      </c>
      <c r="J8" s="441">
        <f>industrie!J18</f>
        <v>284.99535684463774</v>
      </c>
      <c r="K8" s="441">
        <f>industrie!K18</f>
        <v>0</v>
      </c>
      <c r="L8" s="441">
        <f>industrie!L18</f>
        <v>0</v>
      </c>
      <c r="M8" s="441">
        <f>industrie!M18</f>
        <v>0</v>
      </c>
      <c r="N8" s="441">
        <f>industrie!N18</f>
        <v>4305.1233806208411</v>
      </c>
      <c r="O8" s="441">
        <f>industrie!O18</f>
        <v>0</v>
      </c>
      <c r="P8" s="442">
        <f>industrie!P18</f>
        <v>0</v>
      </c>
      <c r="Q8" s="440">
        <f t="shared" si="0"/>
        <v>69115.60618755038</v>
      </c>
    </row>
    <row r="9" spans="1:17" s="446" customFormat="1">
      <c r="A9" s="444" t="s">
        <v>549</v>
      </c>
      <c r="B9" s="445">
        <f>transport!B14</f>
        <v>59.274208630281514</v>
      </c>
      <c r="C9" s="445">
        <f>transport!C14</f>
        <v>0</v>
      </c>
      <c r="D9" s="445">
        <f>transport!D14</f>
        <v>98.305754307526783</v>
      </c>
      <c r="E9" s="445">
        <f>transport!E14</f>
        <v>447.22364682455645</v>
      </c>
      <c r="F9" s="445">
        <f>transport!F14</f>
        <v>0</v>
      </c>
      <c r="G9" s="445">
        <f>transport!G14</f>
        <v>183232.09988878807</v>
      </c>
      <c r="H9" s="445">
        <f>transport!H14</f>
        <v>33988.76889343631</v>
      </c>
      <c r="I9" s="445">
        <f>transport!I14</f>
        <v>0</v>
      </c>
      <c r="J9" s="445">
        <f>transport!J14</f>
        <v>0</v>
      </c>
      <c r="K9" s="445">
        <f>transport!K14</f>
        <v>0</v>
      </c>
      <c r="L9" s="445">
        <f>transport!L14</f>
        <v>0</v>
      </c>
      <c r="M9" s="445">
        <f>transport!M14</f>
        <v>6783.1108988102196</v>
      </c>
      <c r="N9" s="445">
        <f>transport!N14</f>
        <v>0</v>
      </c>
      <c r="O9" s="445">
        <f>transport!O14</f>
        <v>0</v>
      </c>
      <c r="P9" s="445">
        <f>transport!P14</f>
        <v>0</v>
      </c>
      <c r="Q9" s="444">
        <f>SUM(B9:P9)</f>
        <v>224608.78329079697</v>
      </c>
    </row>
    <row r="10" spans="1:17">
      <c r="A10" s="440" t="s">
        <v>539</v>
      </c>
      <c r="B10" s="441">
        <f>transport!B54</f>
        <v>8.0572692834428334</v>
      </c>
      <c r="C10" s="441">
        <f>transport!C54</f>
        <v>0</v>
      </c>
      <c r="D10" s="441">
        <f>transport!D54</f>
        <v>0</v>
      </c>
      <c r="E10" s="441">
        <f>transport!E54</f>
        <v>0</v>
      </c>
      <c r="F10" s="441">
        <f>transport!F54</f>
        <v>0</v>
      </c>
      <c r="G10" s="441">
        <f>transport!G54</f>
        <v>1436.6281715457208</v>
      </c>
      <c r="H10" s="441">
        <f>transport!H54</f>
        <v>0</v>
      </c>
      <c r="I10" s="441">
        <f>transport!I54</f>
        <v>0</v>
      </c>
      <c r="J10" s="441">
        <f>transport!J54</f>
        <v>0</v>
      </c>
      <c r="K10" s="441">
        <f>transport!K54</f>
        <v>0</v>
      </c>
      <c r="L10" s="441">
        <f>transport!L54</f>
        <v>0</v>
      </c>
      <c r="M10" s="441">
        <f>transport!M54</f>
        <v>44.845965107344085</v>
      </c>
      <c r="N10" s="441">
        <f>transport!N54</f>
        <v>0</v>
      </c>
      <c r="O10" s="441">
        <f>transport!O54</f>
        <v>0</v>
      </c>
      <c r="P10" s="442">
        <f>transport!P54</f>
        <v>0</v>
      </c>
      <c r="Q10" s="440">
        <f t="shared" si="0"/>
        <v>1489.5314059365076</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1390.3788259999999</v>
      </c>
      <c r="C14" s="448"/>
      <c r="D14" s="448">
        <f>'SEAP template'!E25</f>
        <v>2209.6709839</v>
      </c>
      <c r="E14" s="448"/>
      <c r="F14" s="448"/>
      <c r="G14" s="448"/>
      <c r="H14" s="448"/>
      <c r="I14" s="448"/>
      <c r="J14" s="448"/>
      <c r="K14" s="448"/>
      <c r="L14" s="448"/>
      <c r="M14" s="448"/>
      <c r="N14" s="448"/>
      <c r="O14" s="448"/>
      <c r="P14" s="449"/>
      <c r="Q14" s="440">
        <f t="shared" si="0"/>
        <v>3600.0498098999997</v>
      </c>
    </row>
    <row r="15" spans="1:17" s="450" customFormat="1">
      <c r="A15" s="956" t="s">
        <v>543</v>
      </c>
      <c r="B15" s="896">
        <f ca="1">SUM(B4:B14)</f>
        <v>109988.32254596349</v>
      </c>
      <c r="C15" s="896">
        <f t="shared" ref="C15:Q15" ca="1" si="1">SUM(C4:C14)</f>
        <v>62.357142857142847</v>
      </c>
      <c r="D15" s="896">
        <f t="shared" ca="1" si="1"/>
        <v>130109.53166824528</v>
      </c>
      <c r="E15" s="896">
        <f t="shared" si="1"/>
        <v>5564.1557000312459</v>
      </c>
      <c r="F15" s="896">
        <f t="shared" ca="1" si="1"/>
        <v>91381.671873645188</v>
      </c>
      <c r="G15" s="896">
        <f t="shared" si="1"/>
        <v>184668.72806033379</v>
      </c>
      <c r="H15" s="896">
        <f t="shared" si="1"/>
        <v>33988.76889343631</v>
      </c>
      <c r="I15" s="896">
        <f t="shared" si="1"/>
        <v>0</v>
      </c>
      <c r="J15" s="896">
        <f t="shared" si="1"/>
        <v>2595.9070259003201</v>
      </c>
      <c r="K15" s="896">
        <f t="shared" si="1"/>
        <v>0</v>
      </c>
      <c r="L15" s="896">
        <f t="shared" ca="1" si="1"/>
        <v>0</v>
      </c>
      <c r="M15" s="896">
        <f t="shared" si="1"/>
        <v>6827.9568639175641</v>
      </c>
      <c r="N15" s="896">
        <f t="shared" ca="1" si="1"/>
        <v>18810.119514375037</v>
      </c>
      <c r="O15" s="896">
        <f t="shared" si="1"/>
        <v>476.81666666666672</v>
      </c>
      <c r="P15" s="896">
        <f t="shared" si="1"/>
        <v>1716</v>
      </c>
      <c r="Q15" s="896">
        <f t="shared" ca="1" si="1"/>
        <v>586190.33595537196</v>
      </c>
    </row>
    <row r="17" spans="1:17">
      <c r="A17" s="451" t="s">
        <v>544</v>
      </c>
      <c r="B17" s="714">
        <f ca="1">huishoudens!B10</f>
        <v>0.14830216516321942</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6495.2596121447632</v>
      </c>
      <c r="C22" s="441">
        <f t="shared" ref="C22:C32" ca="1" si="3">C4*$C$17</f>
        <v>0</v>
      </c>
      <c r="D22" s="441">
        <f t="shared" ref="D22:D32" si="4">D4*$D$17</f>
        <v>17497.039955021042</v>
      </c>
      <c r="E22" s="441">
        <f t="shared" ref="E22:E32" si="5">E4*$E$17</f>
        <v>468.08638451672238</v>
      </c>
      <c r="F22" s="441">
        <f t="shared" ref="F22:F32" si="6">F4*$F$17</f>
        <v>14968.869551766715</v>
      </c>
      <c r="G22" s="441">
        <f t="shared" ref="G22:G32" si="7">G4*$G$17</f>
        <v>0</v>
      </c>
      <c r="H22" s="441">
        <f t="shared" ref="H22:H32" si="8">H4*$H$17</f>
        <v>0</v>
      </c>
      <c r="I22" s="441">
        <f t="shared" ref="I22:I32" si="9">I4*$I$17</f>
        <v>0</v>
      </c>
      <c r="J22" s="441">
        <f t="shared" ref="J22:J32" si="10">J4*$J$17</f>
        <v>366.00244398546306</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39795.2579474347</v>
      </c>
    </row>
    <row r="23" spans="1:17">
      <c r="A23" s="440" t="s">
        <v>149</v>
      </c>
      <c r="B23" s="441">
        <f t="shared" ca="1" si="2"/>
        <v>3153.9337203397408</v>
      </c>
      <c r="C23" s="441">
        <f t="shared" ca="1" si="3"/>
        <v>0</v>
      </c>
      <c r="D23" s="441">
        <f t="shared" ca="1" si="4"/>
        <v>5272.0712462824977</v>
      </c>
      <c r="E23" s="441">
        <f t="shared" si="5"/>
        <v>84.246701374397063</v>
      </c>
      <c r="F23" s="441">
        <f t="shared" ca="1" si="6"/>
        <v>1351.4212060523487</v>
      </c>
      <c r="G23" s="441">
        <f t="shared" si="7"/>
        <v>0</v>
      </c>
      <c r="H23" s="441">
        <f t="shared" si="8"/>
        <v>0</v>
      </c>
      <c r="I23" s="441">
        <f t="shared" si="9"/>
        <v>0</v>
      </c>
      <c r="J23" s="441">
        <f t="shared" si="10"/>
        <v>1.5960950088502859E-2</v>
      </c>
      <c r="K23" s="441">
        <f t="shared" si="11"/>
        <v>0</v>
      </c>
      <c r="L23" s="441">
        <f t="shared" ca="1" si="12"/>
        <v>0</v>
      </c>
      <c r="M23" s="441">
        <f t="shared" si="13"/>
        <v>0</v>
      </c>
      <c r="N23" s="441">
        <f t="shared" ca="1" si="14"/>
        <v>0</v>
      </c>
      <c r="O23" s="441">
        <f t="shared" si="15"/>
        <v>0</v>
      </c>
      <c r="P23" s="442">
        <f t="shared" si="16"/>
        <v>0</v>
      </c>
      <c r="Q23" s="440">
        <f t="shared" ref="Q23:Q32" ca="1" si="17">SUM(B23:P23)</f>
        <v>9861.6888349990732</v>
      </c>
    </row>
    <row r="24" spans="1:17">
      <c r="A24" s="440" t="s">
        <v>187</v>
      </c>
      <c r="B24" s="441">
        <f t="shared" ca="1" si="2"/>
        <v>227.52340216742931</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227.52340216742931</v>
      </c>
    </row>
    <row r="25" spans="1:17">
      <c r="A25" s="440" t="s">
        <v>105</v>
      </c>
      <c r="B25" s="441">
        <f t="shared" ca="1" si="2"/>
        <v>797.57372734542969</v>
      </c>
      <c r="C25" s="441">
        <f t="shared" ca="1" si="3"/>
        <v>0</v>
      </c>
      <c r="D25" s="441">
        <f t="shared" si="4"/>
        <v>67.407616073537966</v>
      </c>
      <c r="E25" s="441">
        <f t="shared" si="5"/>
        <v>24.185358770809927</v>
      </c>
      <c r="F25" s="441">
        <f t="shared" si="6"/>
        <v>5236.4478777038121</v>
      </c>
      <c r="G25" s="441">
        <f t="shared" si="7"/>
        <v>0</v>
      </c>
      <c r="H25" s="441">
        <f t="shared" si="8"/>
        <v>0</v>
      </c>
      <c r="I25" s="441">
        <f t="shared" si="9"/>
        <v>0</v>
      </c>
      <c r="J25" s="441">
        <f t="shared" si="10"/>
        <v>452.04432591016007</v>
      </c>
      <c r="K25" s="441">
        <f t="shared" si="11"/>
        <v>0</v>
      </c>
      <c r="L25" s="441">
        <f t="shared" si="12"/>
        <v>0</v>
      </c>
      <c r="M25" s="441">
        <f t="shared" si="13"/>
        <v>0</v>
      </c>
      <c r="N25" s="441">
        <f t="shared" si="14"/>
        <v>0</v>
      </c>
      <c r="O25" s="441">
        <f t="shared" si="15"/>
        <v>0</v>
      </c>
      <c r="P25" s="442">
        <f t="shared" si="16"/>
        <v>0</v>
      </c>
      <c r="Q25" s="440">
        <f t="shared" ca="1" si="17"/>
        <v>6577.6589058037498</v>
      </c>
    </row>
    <row r="26" spans="1:17">
      <c r="A26" s="440" t="s">
        <v>600</v>
      </c>
      <c r="B26" s="441">
        <f t="shared" ca="1" si="2"/>
        <v>5421.0343199884255</v>
      </c>
      <c r="C26" s="441">
        <f t="shared" ca="1" si="3"/>
        <v>0</v>
      </c>
      <c r="D26" s="441">
        <f t="shared" si="4"/>
        <v>2979.3952784905518</v>
      </c>
      <c r="E26" s="441">
        <f t="shared" si="5"/>
        <v>585.02513141598922</v>
      </c>
      <c r="F26" s="441">
        <f t="shared" si="6"/>
        <v>2842.1677547403883</v>
      </c>
      <c r="G26" s="441">
        <f t="shared" si="7"/>
        <v>0</v>
      </c>
      <c r="H26" s="441">
        <f t="shared" si="8"/>
        <v>0</v>
      </c>
      <c r="I26" s="441">
        <f t="shared" si="9"/>
        <v>0</v>
      </c>
      <c r="J26" s="441">
        <f t="shared" si="10"/>
        <v>100.88835632300176</v>
      </c>
      <c r="K26" s="441">
        <f t="shared" si="11"/>
        <v>0</v>
      </c>
      <c r="L26" s="441">
        <f t="shared" si="12"/>
        <v>0</v>
      </c>
      <c r="M26" s="441">
        <f t="shared" si="13"/>
        <v>0</v>
      </c>
      <c r="N26" s="441">
        <f t="shared" si="14"/>
        <v>0</v>
      </c>
      <c r="O26" s="441">
        <f t="shared" si="15"/>
        <v>0</v>
      </c>
      <c r="P26" s="442">
        <f t="shared" si="16"/>
        <v>0</v>
      </c>
      <c r="Q26" s="440">
        <f t="shared" ca="1" si="17"/>
        <v>11928.510840958355</v>
      </c>
    </row>
    <row r="27" spans="1:17" s="446" customFormat="1">
      <c r="A27" s="444" t="s">
        <v>549</v>
      </c>
      <c r="B27" s="708">
        <f t="shared" ca="1" si="2"/>
        <v>8.7904934782071358</v>
      </c>
      <c r="C27" s="445">
        <f t="shared" ca="1" si="3"/>
        <v>0</v>
      </c>
      <c r="D27" s="445">
        <f t="shared" si="4"/>
        <v>19.857762370120412</v>
      </c>
      <c r="E27" s="445">
        <f t="shared" si="5"/>
        <v>101.51976782917431</v>
      </c>
      <c r="F27" s="445">
        <f t="shared" si="6"/>
        <v>0</v>
      </c>
      <c r="G27" s="445">
        <f t="shared" si="7"/>
        <v>48922.970670306415</v>
      </c>
      <c r="H27" s="445">
        <f t="shared" si="8"/>
        <v>8463.2034544656417</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57516.342148449556</v>
      </c>
    </row>
    <row r="28" spans="1:17">
      <c r="A28" s="440" t="s">
        <v>539</v>
      </c>
      <c r="B28" s="441">
        <f t="shared" ca="1" si="2"/>
        <v>1.1949104800376738</v>
      </c>
      <c r="C28" s="441">
        <f t="shared" ca="1" si="3"/>
        <v>0</v>
      </c>
      <c r="D28" s="441">
        <f t="shared" si="4"/>
        <v>0</v>
      </c>
      <c r="E28" s="441">
        <f t="shared" si="5"/>
        <v>0</v>
      </c>
      <c r="F28" s="441">
        <f t="shared" si="6"/>
        <v>0</v>
      </c>
      <c r="G28" s="441">
        <f t="shared" si="7"/>
        <v>383.57972180270747</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384.77463228274513</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206.1961902928951</v>
      </c>
      <c r="C32" s="441">
        <f t="shared" ca="1" si="3"/>
        <v>0</v>
      </c>
      <c r="D32" s="441">
        <f t="shared" si="4"/>
        <v>446.35353874780003</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652.54972904069518</v>
      </c>
    </row>
    <row r="33" spans="1:17" s="450" customFormat="1">
      <c r="A33" s="956" t="s">
        <v>543</v>
      </c>
      <c r="B33" s="896">
        <f ca="1">SUM(B22:B32)</f>
        <v>16311.506376236928</v>
      </c>
      <c r="C33" s="896">
        <f t="shared" ref="C33:Q33" ca="1" si="18">SUM(C22:C32)</f>
        <v>0</v>
      </c>
      <c r="D33" s="896">
        <f t="shared" ca="1" si="18"/>
        <v>26282.12539698555</v>
      </c>
      <c r="E33" s="896">
        <f t="shared" si="18"/>
        <v>1263.063343907093</v>
      </c>
      <c r="F33" s="896">
        <f t="shared" ca="1" si="18"/>
        <v>24398.906390263266</v>
      </c>
      <c r="G33" s="896">
        <f t="shared" si="18"/>
        <v>49306.550392109122</v>
      </c>
      <c r="H33" s="896">
        <f t="shared" si="18"/>
        <v>8463.2034544656417</v>
      </c>
      <c r="I33" s="896">
        <f t="shared" si="18"/>
        <v>0</v>
      </c>
      <c r="J33" s="896">
        <f t="shared" si="18"/>
        <v>918.95108716871346</v>
      </c>
      <c r="K33" s="896">
        <f t="shared" si="18"/>
        <v>0</v>
      </c>
      <c r="L33" s="896">
        <f t="shared" ca="1" si="18"/>
        <v>0</v>
      </c>
      <c r="M33" s="896">
        <f t="shared" si="18"/>
        <v>0</v>
      </c>
      <c r="N33" s="896">
        <f t="shared" ca="1" si="18"/>
        <v>0</v>
      </c>
      <c r="O33" s="896">
        <f t="shared" si="18"/>
        <v>0</v>
      </c>
      <c r="P33" s="896">
        <f t="shared" si="18"/>
        <v>0</v>
      </c>
      <c r="Q33" s="896">
        <f t="shared" ca="1" si="18"/>
        <v>126944.30644113632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28398.00584985939</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7738.9455366609964</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43.649999999999991</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51.35294117647058</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36180.601386520386</v>
      </c>
      <c r="C10" s="977">
        <f>SUM(C4:C9)</f>
        <v>0</v>
      </c>
      <c r="D10" s="977">
        <f t="shared" ref="D10:H10" si="0">SUM(D8:D9)</f>
        <v>0</v>
      </c>
      <c r="E10" s="977">
        <f t="shared" si="0"/>
        <v>0</v>
      </c>
      <c r="F10" s="977">
        <f t="shared" si="0"/>
        <v>0</v>
      </c>
      <c r="G10" s="977">
        <f t="shared" si="0"/>
        <v>0</v>
      </c>
      <c r="H10" s="977">
        <f t="shared" si="0"/>
        <v>0</v>
      </c>
      <c r="I10" s="977">
        <f>SUM(I8:I9)</f>
        <v>0</v>
      </c>
      <c r="J10" s="977">
        <f>SUM(J8:J9)</f>
        <v>51.35294117647058</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0.14830216516321942</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62.357142857142847</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73.361344537815114</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62.357142857142847</v>
      </c>
      <c r="C20" s="977">
        <f>SUM(C17:C19)</f>
        <v>0</v>
      </c>
      <c r="D20" s="977">
        <f t="shared" ref="D20:H20" si="2">SUM(D17:D19)</f>
        <v>0</v>
      </c>
      <c r="E20" s="977">
        <f t="shared" si="2"/>
        <v>0</v>
      </c>
      <c r="F20" s="977">
        <f t="shared" si="2"/>
        <v>0</v>
      </c>
      <c r="G20" s="977">
        <f t="shared" si="2"/>
        <v>0</v>
      </c>
      <c r="H20" s="977">
        <f t="shared" si="2"/>
        <v>0</v>
      </c>
      <c r="I20" s="977">
        <f>SUM(I17:I19)</f>
        <v>0</v>
      </c>
      <c r="J20" s="977">
        <f>SUM(J17:J19)</f>
        <v>73.361344537815114</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0.14830216516321942</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2022-07-26T11:15:02Z</dcterms:modified>
</cp:coreProperties>
</file>