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AC48B51-B1DB-4B81-BBF4-03E65D00D5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<sst xmlns="http://schemas.openxmlformats.org/spreadsheetml/2006/main" count="2411" uniqueCount="890">
  <si>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</si>
  <si>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</si>
  <si>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</si>
  <si>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</si>
  <si>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</si>
  <si>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</si>
  <si>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</si>
  <si>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</si>
  <si>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</si>
  <si>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</si>
  <si>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</si>
  <si>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</si>
  <si>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</si>
  <si>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</si>
  <si>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</si>
  <si>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</si>
  <si>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</si>
  <si>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</si>
  <si>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</si>
  <si>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</si>
  <si>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</si>
  <si>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</si>
  <si>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</si>
  <si>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</si>
  <si>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</si>
  <si>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</si>
  <si>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</si>
  <si>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</si>
  <si>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</si>
  <si>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</si>
  <si>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</si>
  <si>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</si>
  <si>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</si>
  <si>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</si>
  <si>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</si>
  <si>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</si>
  <si>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</si>
  <si>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</si>
  <si>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</si>
  <si>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</si>
  <si>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</si>
  <si>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</si>
  <si>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</si>
  <si>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</si>
  <si>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</si>
  <si>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</si>
  <si>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</si>
  <si>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</si>
  <si>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</si>
  <si>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</si>
  <si>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</si>
  <si>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</si>
  <si>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</si>
  <si>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</si>
  <si>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</si>
  <si>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</si>
  <si>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</si>
  <si>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</si>
  <si>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</si>
  <si>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</si>
  <si>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</si>
  <si>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</si>
  <si>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</si>
  <si>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</si>
  <si>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</si>
  <si>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</si>
  <si>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</si>
  <si>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</si>
  <si>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</si>
  <si>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</si>
  <si>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</si>
  <si>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</si>
  <si>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</si>
  <si>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</si>
  <si>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</si>
  <si>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</si>
  <si>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</si>
  <si>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</si>
  <si>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</si>
  <si>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</si>
  <si>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</si>
  <si>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</si>
  <si>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</si>
  <si>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</si>
  <si>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</si>
  <si>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</si>
  <si>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</si>
  <si>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</si>
  <si>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</si>
  <si>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</si>
  <si>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</si>
  <si>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</si>
  <si>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</si>
  <si>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</si>
  <si>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</si>
  <si>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</si>
  <si>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</si>
  <si>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</si>
  <si>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</si>
  <si>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</si>
  <si>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</si>
  <si>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</si>
  <si>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</si>
  <si>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</si>
  <si>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</si>
  <si>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</si>
  <si>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</si>
  <si>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</si>
  <si>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</si>
  <si>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</si>
  <si>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</si>
  <si>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</si>
  <si>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</si>
  <si>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</si>
  <si>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</si>
  <si>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</si>
  <si>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</si>
  <si>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</si>
  <si>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</si>
  <si>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</si>
  <si>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</si>
  <si>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</si>
  <si>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</si>
  <si>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</si>
  <si>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</si>
  <si>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</si>
  <si>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</si>
  <si>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</si>
  <si>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</si>
  <si>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</si>
  <si>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</si>
  <si>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</si>
  <si>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</si>
  <si>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</si>
  <si>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</si>
  <si>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</si>
  <si>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</si>
  <si>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</si>
  <si>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</si>
  <si>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</si>
  <si>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</si>
  <si>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</si>
  <si>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</si>
  <si>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</si>
  <si>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</si>
  <si>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</si>
  <si>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</si>
  <si>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</si>
  <si>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</si>
  <si>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</si>
  <si>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</si>
  <si>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</si>
  <si>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</si>
  <si>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</si>
  <si>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</si>
  <si>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</si>
  <si>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</si>
  <si>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</si>
  <si>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</si>
  <si>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</si>
  <si>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</si>
  <si>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</si>
  <si>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</si>
  <si>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</si>
  <si>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</si>
  <si>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</si>
  <si>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</si>
  <si>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</si>
  <si>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</si>
  <si>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</si>
  <si>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</si>
  <si>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</si>
  <si>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</si>
  <si>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</si>
  <si>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</si>
  <si>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</si>
  <si>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</si>
  <si>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</si>
  <si>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</si>
  <si>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</si>
  <si>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</si>
  <si>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</si>
  <si>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</si>
  <si>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</si>
  <si>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</si>
  <si>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</si>
  <si>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</si>
  <si>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</si>
  <si>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</si>
  <si>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</si>
  <si>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</si>
  <si>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</si>
  <si>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</si>
  <si>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</si>
  <si>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</si>
  <si>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</si>
  <si>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</si>
  <si>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</si>
  <si>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</si>
  <si>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</si>
  <si>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</si>
  <si>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</si>
  <si>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</si>
  <si>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</si>
  <si>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</si>
  <si>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</si>
  <si>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</si>
  <si>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</si>
  <si>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</si>
  <si>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</si>
  <si>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</si>
  <si>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</si>
  <si>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</si>
  <si>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</si>
  <si>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</si>
  <si>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</si>
  <si>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</si>
  <si>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</si>
  <si>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</si>
  <si>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</si>
  <si>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</si>
  <si>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</si>
  <si>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</si>
  <si>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</si>
  <si>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</si>
  <si>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</si>
  <si>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</si>
  <si>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</si>
  <si>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</si>
  <si>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</si>
  <si>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</si>
  <si>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</si>
  <si>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</si>
  <si>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</si>
  <si>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</si>
  <si>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</si>
  <si>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</si>
  <si>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</si>
  <si>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</si>
  <si>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</si>
  <si>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</si>
  <si>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</si>
  <si>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</si>
  <si>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</si>
  <si>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</si>
  <si>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</si>
  <si>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</si>
  <si>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</si>
  <si>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</si>
  <si>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</si>
  <si>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</si>
  <si>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</si>
  <si>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</si>
  <si>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</si>
  <si>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</si>
  <si>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</si>
  <si>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</si>
  <si>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</si>
  <si>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</si>
  <si>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</si>
  <si>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</si>
  <si>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</si>
  <si>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</si>
  <si>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</si>
  <si>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</si>
  <si>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</si>
  <si>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</si>
  <si>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</si>
  <si>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</si>
  <si>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</si>
  <si>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</si>
  <si>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</si>
  <si>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</si>
  <si>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</si>
  <si>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</si>
  <si>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</si>
  <si>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</si>
  <si>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</si>
  <si>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</si>
  <si>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</si>
  <si>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</si>
  <si>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</si>
  <si>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</si>
  <si>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</si>
  <si>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</si>
  <si>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</si>
  <si>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</si>
  <si>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</si>
  <si>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</si>
  <si>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</si>
  <si>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</si>
  <si>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</si>
  <si>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</si>
  <si>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</si>
  <si>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</si>
  <si>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</si>
  <si>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</si>
  <si>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</si>
  <si>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</si>
  <si>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</si>
  <si>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</si>
  <si>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</si>
  <si>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</si>
  <si>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</si>
  <si>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</si>
  <si>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</si>
  <si>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</si>
  <si>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</si>
  <si>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</si>
  <si>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</si>
  <si>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</si>
  <si>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</si>
  <si>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</si>
  <si>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</si>
  <si>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</si>
  <si>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</si>
  <si>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</si>
  <si>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</si>
  <si>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</si>
  <si>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</si>
  <si>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</si>
  <si>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</si>
  <si>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</si>
  <si>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</si>
  <si>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</si>
  <si>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</si>
  <si>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</si>
  <si>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</si>
  <si>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</si>
  <si>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</si>
  <si>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</si>
  <si>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</si>
  <si>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</si>
  <si>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</si>
  <si>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</si>
  <si>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</si>
  <si>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</si>
  <si>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</si>
  <si>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</si>
  <si>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</si>
  <si>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</si>
  <si>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</si>
  <si>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</si>
  <si>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</si>
  <si>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</si>
  <si>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</si>
  <si>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</si>
  <si>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</si>
  <si>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</si>
  <si>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</si>
  <si>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</si>
  <si>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</si>
  <si>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</si>
  <si>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</si>
  <si>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</si>
  <si>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</si>
  <si>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</si>
  <si>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</si>
  <si>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</si>
  <si>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</si>
  <si>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</si>
  <si>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</si>
  <si>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</si>
  <si>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</si>
  <si>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</si>
  <si>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</si>
  <si>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</si>
  <si>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</si>
  <si>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</si>
  <si>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</si>
  <si>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</si>
  <si>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</si>
  <si>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</si>
  <si>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</si>
  <si>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</si>
  <si>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</si>
  <si>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</si>
  <si>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</si>
  <si>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</si>
  <si>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</si>
  <si>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</si>
  <si>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</si>
  <si>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</si>
  <si>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</si>
  <si>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</si>
  <si>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</si>
  <si>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</si>
  <si>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</si>
  <si>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</si>
  <si>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</si>
  <si>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</si>
  <si>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</si>
  <si>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</si>
  <si>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</si>
  <si>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</si>
  <si>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</si>
  <si>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</si>
  <si>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</si>
  <si>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</si>
  <si>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</si>
  <si>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</si>
  <si>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</si>
  <si>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</si>
  <si>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</si>
  <si>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</si>
  <si>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</si>
  <si>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</si>
  <si>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</si>
  <si>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</si>
  <si>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</si>
  <si>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</si>
  <si>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</si>
  <si>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</si>
  <si>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</si>
  <si>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</si>
  <si>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</si>
  <si>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</si>
  <si>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</si>
  <si>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</si>
  <si>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</si>
  <si>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</si>
  <si>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</si>
  <si>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</si>
  <si>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</si>
  <si>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</si>
  <si>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</si>
  <si>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</si>
  <si>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</si>
  <si>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</si>
  <si>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</si>
  <si>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</si>
  <si>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</si>
  <si>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</si>
  <si>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</si>
  <si>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</si>
  <si>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</si>
  <si>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</si>
  <si>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</si>
  <si>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</si>
  <si>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</si>
  <si>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</si>
  <si>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</si>
  <si>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</si>
  <si>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</si>
  <si>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</si>
  <si>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</si>
  <si>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</si>
  <si>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</si>
  <si>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</si>
  <si>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</si>
  <si>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</si>
  <si>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</si>
  <si>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</si>
  <si>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</si>
  <si>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</si>
  <si>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</si>
  <si>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</si>
  <si>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</si>
  <si>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</si>
  <si>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</si>
  <si>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</si>
  <si>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</si>
  <si>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</si>
  <si>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</si>
  <si>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</si>
  <si>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</si>
  <si>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</si>
  <si>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</si>
  <si>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</si>
  <si>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</si>
  <si>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</si>
  <si>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</si>
  <si>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</si>
  <si>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</si>
  <si>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</si>
  <si>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</si>
  <si>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</si>
  <si>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</si>
  <si>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</si>
  <si>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</si>
  <si>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</si>
  <si>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</si>
  <si>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</si>
  <si>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</si>
  <si>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</si>
  <si>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</si>
  <si>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</si>
  <si>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</si>
  <si>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</si>
  <si>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</si>
  <si>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</si>
  <si>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</si>
  <si>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</si>
  <si>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</si>
  <si>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</si>
  <si>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</si>
  <si>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</si>
  <si>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</si>
  <si>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</si>
  <si>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</si>
  <si>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</si>
  <si>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</si>
  <si>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</si>
  <si>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</si>
  <si>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</si>
  <si>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</si>
  <si>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</si>
  <si>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</si>
  <si>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</si>
  <si>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</si>
  <si>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</si>
  <si>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</si>
  <si>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</si>
  <si>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</si>
  <si>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</si>
  <si>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</si>
  <si>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</si>
  <si>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</si>
  <si>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</si>
  <si>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</si>
  <si>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</si>
  <si>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</si>
  <si>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</si>
  <si>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</si>
  <si>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</si>
  <si>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</si>
  <si>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</si>
  <si>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</si>
  <si>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</si>
  <si>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</si>
  <si>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</si>
  <si>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</si>
  <si>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</si>
  <si>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</si>
  <si>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</si>
  <si>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</si>
  <si>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</si>
  <si>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</si>
  <si>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</si>
  <si>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</si>
  <si>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</si>
  <si>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</si>
  <si>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</si>
  <si>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</si>
  <si>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</si>
  <si>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</si>
  <si>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</si>
  <si>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</si>
  <si>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</si>
  <si>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</si>
  <si>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</si>
  <si>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</si>
  <si>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</si>
  <si>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</si>
  <si>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</si>
  <si>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</si>
  <si>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</si>
  <si>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</si>
  <si>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</si>
  <si>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</si>
  <si>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</si>
  <si>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</si>
  <si>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</si>
  <si>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</si>
  <si>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</si>
  <si>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</si>
  <si>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</si>
  <si>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</si>
  <si>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</si>
  <si>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</si>
  <si>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</si>
  <si>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</si>
  <si>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</si>
  <si>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</si>
  <si>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</si>
  <si>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</si>
  <si>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</si>
  <si>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</si>
  <si>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</si>
  <si>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</si>
  <si>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</si>
  <si>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</si>
  <si>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</si>
  <si>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</si>
  <si>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</si>
  <si>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</si>
  <si>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</si>
  <si>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</si>
  <si>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</si>
  <si>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</si>
  <si>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</si>
  <si>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</si>
  <si>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</si>
  <si>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</si>
  <si>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</si>
  <si>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</si>
  <si>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</si>
  <si>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</si>
  <si>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</si>
  <si>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</si>
  <si>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</si>
  <si>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</si>
  <si>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</si>
  <si>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</si>
  <si>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</si>
  <si>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</si>
  <si>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</si>
  <si>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</si>
  <si>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</si>
  <si>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</si>
  <si>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</si>
  <si>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</si>
  <si>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</si>
  <si>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</si>
  <si>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</si>
  <si>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</si>
  <si>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</si>
  <si>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</si>
  <si>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</si>
  <si>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</si>
  <si>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</si>
  <si>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</si>
  <si>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</si>
  <si>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</si>
  <si>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</si>
  <si>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</si>
  <si>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</si>
  <si>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</si>
  <si>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</si>
  <si>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</si>
  <si>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</si>
  <si>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</si>
  <si>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</si>
  <si>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</si>
  <si>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</si>
  <si>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</si>
  <si>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</si>
  <si>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</si>
  <si>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</si>
  <si>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</si>
  <si>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</si>
  <si>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</si>
  <si>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</si>
  <si>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</si>
  <si>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</si>
  <si>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</si>
  <si>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</si>
  <si>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</si>
  <si>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</si>
  <si>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</si>
  <si>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</si>
  <si>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</si>
  <si>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</si>
  <si>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</si>
  <si>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</si>
  <si>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</si>
  <si>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</si>
  <si>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</si>
  <si>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</si>
  <si>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</si>
  <si>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</si>
  <si>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</si>
  <si>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</si>
  <si>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</si>
  <si>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</si>
  <si>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</si>
  <si>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</si>
  <si>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</si>
  <si>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</si>
  <si>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</si>
  <si>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</si>
  <si>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</si>
  <si>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</si>
  <si>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</si>
  <si>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</si>
  <si>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</si>
  <si>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</si>
  <si>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</si>
  <si>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</si>
  <si>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</si>
  <si>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</si>
  <si>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</si>
  <si>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</si>
  <si>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</si>
  <si>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</si>
  <si>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</si>
  <si>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</si>
  <si>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</si>
  <si>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</si>
  <si>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</si>
  <si>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</si>
  <si>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</si>
  <si>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</si>
  <si>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</si>
  <si>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</si>
  <si>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</si>
  <si>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</si>
  <si>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</si>
  <si>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</si>
  <si>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</si>
  <si>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</si>
  <si>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</si>
  <si>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</si>
  <si>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</si>
  <si>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</si>
  <si>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</si>
  <si>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</si>
  <si>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</si>
  <si>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</si>
  <si>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</si>
  <si>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</si>
  <si>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</si>
  <si>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</si>
  <si>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</si>
  <si>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</si>
  <si>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</si>
  <si>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</si>
  <si>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</si>
  <si>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</si>
  <si>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</si>
  <si>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</si>
  <si>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</si>
  <si>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</si>
  <si>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</si>
  <si>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</si>
  <si>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</si>
  <si>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</si>
  <si>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</si>
  <si>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</si>
  <si>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</si>
  <si>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</si>
  <si>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</si>
  <si>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</si>
  <si>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</si>
  <si>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</si>
  <si>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</si>
  <si>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</si>
  <si>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</si>
  <si>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</si>
  <si>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</si>
  <si>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</si>
  <si>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</si>
  <si>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</si>
  <si>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</si>
  <si>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</si>
  <si>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</si>
  <si>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</si>
  <si>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</si>
  <si>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</si>
  <si>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</si>
  <si>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</si>
  <si>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</si>
  <si>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</si>
  <si>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</si>
  <si>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</si>
  <si>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</si>
  <si>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</si>
  <si>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</si>
  <si>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</si>
  <si>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</si>
  <si>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</si>
  <si>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</si>
  <si>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</si>
  <si>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</si>
  <si>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</si>
  <si>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</si>
  <si>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</si>
  <si>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</si>
  <si>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</si>
  <si>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</si>
  <si>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</si>
  <si>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</si>
  <si>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</si>
  <si>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</si>
  <si>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</si>
  <si>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</si>
  <si>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</si>
  <si>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</si>
  <si>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</si>
  <si>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</si>
  <si>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</si>
  <si>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</si>
  <si>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</si>
  <si>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</si>
  <si>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</si>
  <si>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</si>
  <si>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</si>
  <si>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</si>
  <si>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</si>
  <si>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</si>
  <si>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</si>
  <si>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</si>
  <si>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</si>
  <si>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</si>
  <si>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</si>
  <si>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</si>
  <si>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</si>
  <si>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</si>
  <si>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</si>
  <si>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</si>
  <si>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</si>
  <si>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</si>
  <si>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</si>
  <si>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</si>
  <si>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</si>
  <si>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</si>
  <si>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</si>
  <si>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</si>
  <si>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</si>
  <si>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</si>
  <si>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</si>
  <si>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</si>
  <si>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</si>
  <si>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</si>
  <si>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</si>
  <si>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</si>
  <si>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</si>
  <si>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</si>
  <si>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</si>
  <si>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</si>
  <si>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</si>
  <si>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</si>
  <si>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</si>
  <si>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</si>
  <si>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</si>
  <si>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</si>
  <si>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</si>
  <si>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</si>
  <si>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</si>
  <si>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</si>
  <si>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</si>
  <si>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</si>
  <si>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</si>
  <si>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</si>
  <si>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</si>
  <si>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</si>
  <si>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</si>
  <si>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</si>
  <si>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</si>
  <si>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</si>
  <si>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</si>
  <si>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</si>
  <si>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</si>
  <si>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</si>
  <si>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</si>
  <si>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</si>
  <si>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</si>
  <si>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</si>
  <si>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</si>
  <si>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</si>
  <si>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</si>
  <si>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</si>
  <si>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</si>
  <si>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</si>
  <si>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</si>
  <si>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</si>
  <si>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</si>
  <si>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</si>
  <si>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</si>
  <si>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</si>
  <si>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</si>
  <si>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</si>
  <si>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</si>
  <si>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</si>
  <si>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</si>
  <si>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</si>
  <si>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</si>
  <si>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</si>
  <si>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</si>
  <si>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</si>
  <si>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</si>
  <si>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</si>
  <si>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</si>
  <si>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</si>
  <si>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</si>
  <si>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</si>
  <si>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</si>
  <si>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</si>
  <si>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</si>
  <si>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</si>
  <si>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</si>
  <si>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</si>
  <si>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42003</t>
  </si>
  <si>
    <t>BERLARE</t>
  </si>
  <si>
    <t>Paarden&amp;pony's 200 - 600 kg</t>
  </si>
  <si>
    <t>Paarden&amp;pony's &lt; 200 kg</t>
  </si>
  <si>
    <t>vloeibaar gas (MWh)</t>
  </si>
  <si>
    <t>interne verbrandingsmotor</t>
  </si>
  <si>
    <t>WKK interne verbrandinsgmotor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</si>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</sst>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C876351-9C7E-4740-9287-1AA4454A9BF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131604.49238249217</c:v>
                </c:pt>
                <c:pt idx="1">
                  <c:v>23827.016756284189</c:v>
                </c:pt>
                <c:pt idx="2">
                  <c:v>1126.232</c:v>
                </c:pt>
                <c:pt idx="3">
                  <c:v>5154.1457806160452</c:v>
                </c:pt>
                <c:pt idx="4">
                  <c:v>15516.873867893722</c:v>
                </c:pt>
                <c:pt idx="5">
                  <c:v>60119.98904255368</c:v>
                </c:pt>
                <c:pt idx="6">
                  <c:v>861.94218044129912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131604.49238249217</c:v>
                </c:pt>
                <c:pt idx="1">
                  <c:v>23827.016756284189</c:v>
                </c:pt>
                <c:pt idx="2">
                  <c:v>1126.232</c:v>
                </c:pt>
                <c:pt idx="3">
                  <c:v>5154.1457806160452</c:v>
                </c:pt>
                <c:pt idx="4">
                  <c:v>15516.873867893722</c:v>
                </c:pt>
                <c:pt idx="5">
                  <c:v>60119.98904255368</c:v>
                </c:pt>
                <c:pt idx="6">
                  <c:v>861.94218044129912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25163.110036886443</c:v>
                </c:pt>
                <c:pt idx="2">
                  <c:v>3906.197220842238</c:v>
                </c:pt>
                <c:pt idx="3">
                  <c:v>128.40436994464667</c:v>
                </c:pt>
                <c:pt idx="4">
                  <c:v>1205.1147310874674</c:v>
                </c:pt>
                <c:pt idx="5">
                  <c:v>2918.3413952186402</c:v>
                </c:pt>
                <c:pt idx="6">
                  <c:v>15385.541931711745</c:v>
                </c:pt>
                <c:pt idx="7">
                  <c:v>222.49638036594484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25163.110036886443</c:v>
                </c:pt>
                <c:pt idx="2">
                  <c:v>3906.197220842238</c:v>
                </c:pt>
                <c:pt idx="3">
                  <c:v>128.40436994464667</c:v>
                </c:pt>
                <c:pt idx="4">
                  <c:v>1205.1147310874674</c:v>
                </c:pt>
                <c:pt idx="5">
                  <c:v>2918.3413952186402</c:v>
                </c:pt>
                <c:pt idx="6">
                  <c:v>15385.541931711745</c:v>
                </c:pt>
                <c:pt idx="7">
                  <c:v>222.49638036594484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42003</v>
      </c>
      <c r="B6" s="380"/>
      <c r="C6" s="381"/>
    </row>
    <row r="7" spans="1:7" s="378" customFormat="1" ht="15.75" customHeight="1">
      <c r="A7" s="382" t="str">
        <f>txtMunicipality</f>
        <v>BERLARE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0.11401236152466514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0.11401236152466514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6236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1833.63</v>
      </c>
      <c r="C14" s="322"/>
      <c r="D14" s="322"/>
      <c r="E14" s="322"/>
      <c r="F14" s="322"/>
    </row>
    <row r="15" spans="1:6">
      <c r="A15" s="1248" t="s">
        <v>177</v>
      </c>
      <c r="B15" s="1249">
        <v>25</v>
      </c>
      <c r="C15" s="322"/>
      <c r="D15" s="322"/>
      <c r="E15" s="322"/>
      <c r="F15" s="322"/>
    </row>
    <row r="16" spans="1:6">
      <c r="A16" s="1248" t="s">
        <v>6</v>
      </c>
      <c r="B16" s="1249">
        <v>953</v>
      </c>
      <c r="C16" s="322"/>
      <c r="D16" s="322"/>
      <c r="E16" s="322"/>
      <c r="F16" s="322"/>
    </row>
    <row r="17" spans="1:6">
      <c r="A17" s="1248" t="s">
        <v>7</v>
      </c>
      <c r="B17" s="1249">
        <v>532</v>
      </c>
      <c r="C17" s="322"/>
      <c r="D17" s="322"/>
      <c r="E17" s="322"/>
      <c r="F17" s="322"/>
    </row>
    <row r="18" spans="1:6">
      <c r="A18" s="1248" t="s">
        <v>8</v>
      </c>
      <c r="B18" s="1249">
        <v>827</v>
      </c>
      <c r="C18" s="322"/>
      <c r="D18" s="322"/>
      <c r="E18" s="322"/>
      <c r="F18" s="322"/>
    </row>
    <row r="19" spans="1:6">
      <c r="A19" s="1248" t="s">
        <v>9</v>
      </c>
      <c r="B19" s="1249">
        <v>941</v>
      </c>
      <c r="C19" s="322"/>
      <c r="D19" s="322"/>
      <c r="E19" s="322"/>
      <c r="F19" s="322"/>
    </row>
    <row r="20" spans="1:6">
      <c r="A20" s="1248" t="s">
        <v>10</v>
      </c>
      <c r="B20" s="1249">
        <v>637</v>
      </c>
      <c r="C20" s="322"/>
      <c r="D20" s="322"/>
      <c r="E20" s="322"/>
      <c r="F20" s="322"/>
    </row>
    <row r="21" spans="1:6">
      <c r="A21" s="1248" t="s">
        <v>11</v>
      </c>
      <c r="B21" s="1249">
        <v>230</v>
      </c>
      <c r="C21" s="322"/>
      <c r="D21" s="322"/>
      <c r="E21" s="322"/>
      <c r="F21" s="322"/>
    </row>
    <row r="22" spans="1:6">
      <c r="A22" s="1248" t="s">
        <v>12</v>
      </c>
      <c r="B22" s="1249">
        <v>2802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91</v>
      </c>
      <c r="C25" s="322"/>
      <c r="D25" s="322"/>
      <c r="E25" s="322"/>
      <c r="F25" s="322"/>
    </row>
    <row r="26" spans="1:6">
      <c r="A26" s="1248" t="s">
        <v>16</v>
      </c>
      <c r="B26" s="1249">
        <v>72</v>
      </c>
      <c r="C26" s="322"/>
      <c r="D26" s="322"/>
      <c r="E26" s="322"/>
      <c r="F26" s="322"/>
    </row>
    <row r="27" spans="1:6">
      <c r="A27" s="1248" t="s">
        <v>17</v>
      </c>
      <c r="B27" s="1249">
        <v>0</v>
      </c>
      <c r="C27" s="322"/>
      <c r="D27" s="322"/>
      <c r="E27" s="322"/>
      <c r="F27" s="322"/>
    </row>
    <row r="28" spans="1:6">
      <c r="A28" s="1248" t="s">
        <v>18</v>
      </c>
      <c r="B28" s="1250">
        <v>97433</v>
      </c>
      <c r="C28" s="322"/>
      <c r="D28" s="322"/>
      <c r="E28" s="322"/>
      <c r="F28" s="322"/>
    </row>
    <row r="29" spans="1:6">
      <c r="A29" s="1248" t="s">
        <v>884</v>
      </c>
      <c r="B29" s="1250">
        <v>56</v>
      </c>
      <c r="C29" s="322"/>
      <c r="D29" s="322"/>
      <c r="E29" s="322"/>
      <c r="F29" s="322"/>
    </row>
    <row r="30" spans="1:6">
      <c r="A30" s="1243" t="s">
        <v>885</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11991.375816</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4190.2813403</v>
      </c>
    </row>
    <row r="39" spans="1:6">
      <c r="A39" s="1248" t="s">
        <v>29</v>
      </c>
      <c r="B39" s="1248" t="s">
        <v>30</v>
      </c>
      <c r="C39" s="1249">
        <v>3186</v>
      </c>
      <c r="D39" s="1249">
        <v>48762536.616999999</v>
      </c>
      <c r="E39" s="1249">
        <v>6039</v>
      </c>
      <c r="F39" s="1249">
        <v>27445254.859000001</v>
      </c>
    </row>
    <row r="40" spans="1:6">
      <c r="A40" s="1248" t="s">
        <v>29</v>
      </c>
      <c r="B40" s="1248" t="s">
        <v>28</v>
      </c>
      <c r="C40" s="1249">
        <v>1</v>
      </c>
      <c r="D40" s="1249">
        <v>35442.761588000001</v>
      </c>
      <c r="E40" s="1249">
        <v>2</v>
      </c>
      <c r="F40" s="1249">
        <v>11491.837968</v>
      </c>
    </row>
    <row r="41" spans="1:6">
      <c r="A41" s="1248" t="s">
        <v>31</v>
      </c>
      <c r="B41" s="1248" t="s">
        <v>32</v>
      </c>
      <c r="C41" s="1249">
        <v>53</v>
      </c>
      <c r="D41" s="1249">
        <v>1011921.9577</v>
      </c>
      <c r="E41" s="1249">
        <v>138</v>
      </c>
      <c r="F41" s="1249">
        <v>953822.63933000003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70814.726318999994</v>
      </c>
    </row>
    <row r="45" spans="1:6">
      <c r="A45" s="1248" t="s">
        <v>31</v>
      </c>
      <c r="B45" s="1248" t="s">
        <v>36</v>
      </c>
      <c r="C45" s="1249">
        <v>0</v>
      </c>
      <c r="D45" s="1249">
        <v>0</v>
      </c>
      <c r="E45" s="1249">
        <v>3</v>
      </c>
      <c r="F45" s="1249">
        <v>132131.4571</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23</v>
      </c>
      <c r="D48" s="1249">
        <v>10781207.613</v>
      </c>
      <c r="E48" s="1249">
        <v>34</v>
      </c>
      <c r="F48" s="1249">
        <v>1455262.1436999999</v>
      </c>
    </row>
    <row r="49" spans="1:6">
      <c r="A49" s="1248" t="s">
        <v>31</v>
      </c>
      <c r="B49" s="1248" t="s">
        <v>39</v>
      </c>
      <c r="C49" s="1249">
        <v>0</v>
      </c>
      <c r="D49" s="1249">
        <v>0</v>
      </c>
      <c r="E49" s="1249">
        <v>0</v>
      </c>
      <c r="F49" s="1249">
        <v>0</v>
      </c>
    </row>
    <row r="50" spans="1:6">
      <c r="A50" s="1248" t="s">
        <v>31</v>
      </c>
      <c r="B50" s="1248" t="s">
        <v>40</v>
      </c>
      <c r="C50" s="1249">
        <v>3</v>
      </c>
      <c r="D50" s="1249">
        <v>137883.49562999999</v>
      </c>
      <c r="E50" s="1249">
        <v>10</v>
      </c>
      <c r="F50" s="1249">
        <v>277921.13032</v>
      </c>
    </row>
    <row r="51" spans="1:6">
      <c r="A51" s="1248" t="s">
        <v>41</v>
      </c>
      <c r="B51" s="1248" t="s">
        <v>42</v>
      </c>
      <c r="C51" s="1249">
        <v>7</v>
      </c>
      <c r="D51" s="1249">
        <v>138014.87985</v>
      </c>
      <c r="E51" s="1249">
        <v>62</v>
      </c>
      <c r="F51" s="1249">
        <v>835388.85514999996</v>
      </c>
    </row>
    <row r="52" spans="1:6">
      <c r="A52" s="1248" t="s">
        <v>41</v>
      </c>
      <c r="B52" s="1248" t="s">
        <v>28</v>
      </c>
      <c r="C52" s="1249">
        <v>8</v>
      </c>
      <c r="D52" s="1249">
        <v>773647.60218000005</v>
      </c>
      <c r="E52" s="1249">
        <v>8</v>
      </c>
      <c r="F52" s="1249">
        <v>47941.795385999998</v>
      </c>
    </row>
    <row r="53" spans="1:6">
      <c r="A53" s="1248" t="s">
        <v>43</v>
      </c>
      <c r="B53" s="1248" t="s">
        <v>44</v>
      </c>
      <c r="C53" s="1249">
        <v>79</v>
      </c>
      <c r="D53" s="1249">
        <v>1039158.2572</v>
      </c>
      <c r="E53" s="1249">
        <v>206</v>
      </c>
      <c r="F53" s="1249">
        <v>1814143.1039</v>
      </c>
    </row>
    <row r="54" spans="1:6">
      <c r="A54" s="1248" t="s">
        <v>45</v>
      </c>
      <c r="B54" s="1248" t="s">
        <v>46</v>
      </c>
      <c r="C54" s="1249">
        <v>0</v>
      </c>
      <c r="D54" s="1249">
        <v>0</v>
      </c>
      <c r="E54" s="1249">
        <v>3</v>
      </c>
      <c r="F54" s="1249">
        <v>1126232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741756.63795999996</v>
      </c>
      <c r="E57" s="1249">
        <v>40</v>
      </c>
      <c r="F57" s="1249">
        <v>1134516.2531999999</v>
      </c>
    </row>
    <row r="58" spans="1:6">
      <c r="A58" s="1248" t="s">
        <v>48</v>
      </c>
      <c r="B58" s="1248" t="s">
        <v>50</v>
      </c>
      <c r="C58" s="1249">
        <v>12</v>
      </c>
      <c r="D58" s="1249">
        <v>329149.05378000002</v>
      </c>
      <c r="E58" s="1249">
        <v>24</v>
      </c>
      <c r="F58" s="1249">
        <v>173242.91407</v>
      </c>
    </row>
    <row r="59" spans="1:6">
      <c r="A59" s="1248" t="s">
        <v>48</v>
      </c>
      <c r="B59" s="1248" t="s">
        <v>51</v>
      </c>
      <c r="C59" s="1249">
        <v>40</v>
      </c>
      <c r="D59" s="1249">
        <v>1371304.2623000001</v>
      </c>
      <c r="E59" s="1249">
        <v>138</v>
      </c>
      <c r="F59" s="1249">
        <v>3186621.6641000002</v>
      </c>
    </row>
    <row r="60" spans="1:6">
      <c r="A60" s="1248" t="s">
        <v>48</v>
      </c>
      <c r="B60" s="1248" t="s">
        <v>52</v>
      </c>
      <c r="C60" s="1249">
        <v>55</v>
      </c>
      <c r="D60" s="1249">
        <v>2599615.8922000001</v>
      </c>
      <c r="E60" s="1249">
        <v>98</v>
      </c>
      <c r="F60" s="1249">
        <v>2453941.9737</v>
      </c>
    </row>
    <row r="61" spans="1:6">
      <c r="A61" s="1248" t="s">
        <v>48</v>
      </c>
      <c r="B61" s="1248" t="s">
        <v>53</v>
      </c>
      <c r="C61" s="1249">
        <v>69</v>
      </c>
      <c r="D61" s="1249">
        <v>4300229.8624</v>
      </c>
      <c r="E61" s="1249">
        <v>153</v>
      </c>
      <c r="F61" s="1249">
        <v>1776083.4219</v>
      </c>
    </row>
    <row r="62" spans="1:6">
      <c r="A62" s="1248" t="s">
        <v>48</v>
      </c>
      <c r="B62" s="1248" t="s">
        <v>54</v>
      </c>
      <c r="C62" s="1249">
        <v>3</v>
      </c>
      <c r="D62" s="1249">
        <v>214322.22865999999</v>
      </c>
      <c r="E62" s="1249">
        <v>8</v>
      </c>
      <c r="F62" s="1249">
        <v>166271.27562</v>
      </c>
    </row>
    <row r="63" spans="1:6">
      <c r="A63" s="1248" t="s">
        <v>48</v>
      </c>
      <c r="B63" s="1248" t="s">
        <v>28</v>
      </c>
      <c r="C63" s="1249">
        <v>75</v>
      </c>
      <c r="D63" s="1249">
        <v>1899745.0225</v>
      </c>
      <c r="E63" s="1249">
        <v>98</v>
      </c>
      <c r="F63" s="1249">
        <v>1478911.7947</v>
      </c>
    </row>
    <row r="64" spans="1:6">
      <c r="A64" s="1248" t="s">
        <v>55</v>
      </c>
      <c r="B64" s="1248" t="s">
        <v>56</v>
      </c>
      <c r="C64" s="1249">
        <v>0</v>
      </c>
      <c r="D64" s="1249">
        <v>0</v>
      </c>
      <c r="E64" s="1249">
        <v>0</v>
      </c>
      <c r="F64" s="1249">
        <v>0</v>
      </c>
    </row>
    <row r="65" spans="1:6">
      <c r="A65" s="1248" t="s">
        <v>55</v>
      </c>
      <c r="B65" s="1248" t="s">
        <v>28</v>
      </c>
      <c r="C65" s="1249">
        <v>3</v>
      </c>
      <c r="D65" s="1249">
        <v>73632.618799999997</v>
      </c>
      <c r="E65" s="1249">
        <v>4</v>
      </c>
      <c r="F65" s="1249">
        <v>13275.532590000001</v>
      </c>
    </row>
    <row r="66" spans="1:6">
      <c r="A66" s="1248" t="s">
        <v>55</v>
      </c>
      <c r="B66" s="1248" t="s">
        <v>57</v>
      </c>
      <c r="C66" s="1249">
        <v>0</v>
      </c>
      <c r="D66" s="1249">
        <v>0</v>
      </c>
      <c r="E66" s="1249">
        <v>3</v>
      </c>
      <c r="F66" s="1249">
        <v>9136.8076084999993</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50135.713170000003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38911968</v>
      </c>
      <c r="E73" s="439"/>
      <c r="F73" s="322"/>
    </row>
    <row r="74" spans="1:6">
      <c r="A74" s="1248" t="s">
        <v>63</v>
      </c>
      <c r="B74" s="1248" t="s">
        <v>626</v>
      </c>
      <c r="C74" s="1261" t="s">
        <v>628</v>
      </c>
      <c r="D74" s="1249">
        <v>3527284.2923688614</v>
      </c>
      <c r="E74" s="439"/>
      <c r="F74" s="322"/>
    </row>
    <row r="75" spans="1:6">
      <c r="A75" s="1248" t="s">
        <v>64</v>
      </c>
      <c r="B75" s="1248" t="s">
        <v>625</v>
      </c>
      <c r="C75" s="1261" t="s">
        <v>629</v>
      </c>
      <c r="D75" s="1249">
        <v>21635721</v>
      </c>
      <c r="E75" s="439"/>
      <c r="F75" s="322"/>
    </row>
    <row r="76" spans="1:6">
      <c r="A76" s="1248" t="s">
        <v>64</v>
      </c>
      <c r="B76" s="1248" t="s">
        <v>626</v>
      </c>
      <c r="C76" s="1261" t="s">
        <v>630</v>
      </c>
      <c r="D76" s="1249">
        <v>1885668.2923688611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233125.4152622775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19843.327069001127</v>
      </c>
      <c r="C90" s="322"/>
      <c r="D90" s="322"/>
      <c r="E90" s="322"/>
      <c r="F90" s="322"/>
    </row>
    <row r="91" spans="1:6">
      <c r="A91" s="1248" t="s">
        <v>67</v>
      </c>
      <c r="B91" s="1249">
        <v>2888.6932418848523</v>
      </c>
      <c r="C91" s="322"/>
      <c r="D91" s="322"/>
      <c r="E91" s="322"/>
      <c r="F91" s="322"/>
    </row>
    <row r="92" spans="1:6">
      <c r="A92" s="1243" t="s">
        <v>68</v>
      </c>
      <c r="B92" s="1244">
        <v>217.47158805846257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1055</v>
      </c>
      <c r="C97" s="322"/>
      <c r="D97" s="322"/>
      <c r="E97" s="322"/>
      <c r="F97" s="322"/>
    </row>
    <row r="98" spans="1:6">
      <c r="A98" s="1248" t="s">
        <v>71</v>
      </c>
      <c r="B98" s="1249">
        <v>3</v>
      </c>
      <c r="C98" s="322"/>
      <c r="D98" s="322"/>
      <c r="E98" s="322"/>
      <c r="F98" s="322"/>
    </row>
    <row r="99" spans="1:6">
      <c r="A99" s="1248" t="s">
        <v>72</v>
      </c>
      <c r="B99" s="1249">
        <v>179</v>
      </c>
      <c r="C99" s="322"/>
      <c r="D99" s="322"/>
      <c r="E99" s="322"/>
      <c r="F99" s="322"/>
    </row>
    <row r="100" spans="1:6">
      <c r="A100" s="1248" t="s">
        <v>73</v>
      </c>
      <c r="B100" s="1249">
        <v>711</v>
      </c>
      <c r="C100" s="322"/>
      <c r="D100" s="322"/>
      <c r="E100" s="322"/>
      <c r="F100" s="322"/>
    </row>
    <row r="101" spans="1:6">
      <c r="A101" s="1248" t="s">
        <v>74</v>
      </c>
      <c r="B101" s="1249">
        <v>87</v>
      </c>
      <c r="C101" s="322"/>
      <c r="D101" s="322"/>
      <c r="E101" s="322"/>
      <c r="F101" s="322"/>
    </row>
    <row r="102" spans="1:6">
      <c r="A102" s="1248" t="s">
        <v>75</v>
      </c>
      <c r="B102" s="1249">
        <v>120</v>
      </c>
      <c r="C102" s="322"/>
      <c r="D102" s="322"/>
      <c r="E102" s="322"/>
      <c r="F102" s="322"/>
    </row>
    <row r="103" spans="1:6">
      <c r="A103" s="1248" t="s">
        <v>76</v>
      </c>
      <c r="B103" s="1249">
        <v>285</v>
      </c>
      <c r="C103" s="322"/>
      <c r="D103" s="322"/>
      <c r="E103" s="322"/>
      <c r="F103" s="322"/>
    </row>
    <row r="104" spans="1:6">
      <c r="A104" s="1248" t="s">
        <v>77</v>
      </c>
      <c r="B104" s="1249">
        <v>2904</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21</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91</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47489.488337833129</v>
      </c>
      <c r="C3" s="43" t="s">
        <v>163</v>
      </c>
      <c r="D3" s="43"/>
      <c r="E3" s="153"/>
      <c r="F3" s="43"/>
      <c r="G3" s="43"/>
      <c r="H3" s="43"/>
      <c r="I3" s="43"/>
      <c r="J3" s="43"/>
      <c r="K3" s="96"/>
    </row>
    <row r="4" spans="1:11">
      <c r="A4" s="348" t="s">
        <v>164</v>
      </c>
      <c r="B4" s="49">
        <f>IF(ISERROR('SEAP template'!B78+'SEAP template'!C78),0,'SEAP template'!B78+'SEAP template'!C78)</f>
        <v>22989.991898944441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0.11401236152466514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45.5625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1126.232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1126.232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0.11401236152466514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128.40436994464667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27456.746696967999</v>
      </c>
      <c r="C5" s="17">
        <f>IF(ISERROR('Eigen informatie GS &amp; warmtenet'!B57),0,'Eigen informatie GS &amp; warmtenet'!B57)</f>
        <v>0</v>
      </c>
      <c r="D5" s="30">
        <f>(SUM(HH_hh_gas_kWh,HH_rest_gas_kWh)/1000)*0.902</f>
        <v>44015.777399486375</v>
      </c>
      <c r="E5" s="17">
        <f>B32*B41</f>
        <v>1671.800192600869</v>
      </c>
      <c r="F5" s="17">
        <f>B36*B45</f>
        <v>45452.93812292401</v>
      </c>
      <c r="G5" s="18"/>
      <c r="H5" s="17"/>
      <c r="I5" s="17"/>
      <c r="J5" s="17">
        <f>B35*B44+C35*C44</f>
        <v>838.23336360333951</v>
      </c>
      <c r="K5" s="17"/>
      <c r="L5" s="17"/>
      <c r="M5" s="17"/>
      <c r="N5" s="17">
        <f>B34*B43+C34*C43</f>
        <v>8455.3800316913785</v>
      </c>
      <c r="O5" s="17">
        <f>B52*B53*B54</f>
        <v>176.65666666666667</v>
      </c>
      <c r="P5" s="17">
        <f>B60*B61*B62/1000-B60*B61*B62/1000/B63</f>
        <v>648.26666666666665</v>
      </c>
    </row>
    <row r="6" spans="1:16">
      <c r="A6" s="16" t="s">
        <v>586</v>
      </c>
      <c r="B6" s="716">
        <f>kWh_PV_kleiner_dan_10kW</f>
        <v>2888.6932418848523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30345.439938852851</v>
      </c>
      <c r="C8" s="21">
        <f>C5</f>
        <v>0</v>
      </c>
      <c r="D8" s="21">
        <f>D5</f>
        <v>44015.777399486375</v>
      </c>
      <c r="E8" s="21">
        <f>E5</f>
        <v>1671.800192600869</v>
      </c>
      <c r="F8" s="21">
        <f>F5</f>
        <v>45452.93812292401</v>
      </c>
      <c r="G8" s="21"/>
      <c r="H8" s="21"/>
      <c r="I8" s="21"/>
      <c r="J8" s="21">
        <f>J5</f>
        <v>838.23336360333951</v>
      </c>
      <c r="K8" s="21"/>
      <c r="L8" s="21">
        <f>L5</f>
        <v>0</v>
      </c>
      <c r="M8" s="21">
        <f>M5</f>
        <v>0</v>
      </c>
      <c r="N8" s="21">
        <f>N5</f>
        <v>8455.3800316913785</v>
      </c>
      <c r="O8" s="21">
        <f>O5</f>
        <v>176.65666666666667</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0.11401236152466514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3459.7552689335034</v>
      </c>
      <c r="C12" s="23">
        <f ca="1">C10*C8</f>
        <v>0</v>
      </c>
      <c r="D12" s="23">
        <f>D8*D10</f>
        <v>8891.1870346962478</v>
      </c>
      <c r="E12" s="23">
        <f>E10*E8</f>
        <v>379.49864372039724</v>
      </c>
      <c r="F12" s="23">
        <f>F10*F8</f>
        <v>12135.934478820711</v>
      </c>
      <c r="G12" s="23"/>
      <c r="H12" s="23"/>
      <c r="I12" s="23"/>
      <c r="J12" s="23">
        <f>J10*J8</f>
        <v>296.73461071558216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6236</v>
      </c>
      <c r="C26" s="36"/>
      <c r="D26" s="224"/>
    </row>
    <row r="27" spans="1:5" s="15" customFormat="1">
      <c r="A27" s="226" t="s">
        <v>655</v>
      </c>
      <c r="B27" s="37">
        <f>SUM(HH_hh_gas_aantal,HH_rest_gas_aantal)</f>
        <v>3187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3027.65</v>
      </c>
      <c r="C31" s="34" t="s">
        <v>104</v>
      </c>
      <c r="D31" s="170"/>
    </row>
    <row r="32" spans="1:5">
      <c r="A32" s="167" t="s">
        <v>72</v>
      </c>
      <c r="B32" s="33">
        <f>IF((B21*($B$26-($B$27-0.05*$B$27)-$B$60))&lt;0,0,B21*($B$26-($B$27-0.05*$B$27)-$B$60))</f>
        <v>20.485435461606205</v>
      </c>
      <c r="C32" s="34" t="s">
        <v>104</v>
      </c>
      <c r="D32" s="170"/>
    </row>
    <row r="33" spans="1:6">
      <c r="A33" s="167" t="s">
        <v>73</v>
      </c>
      <c r="B33" s="33">
        <f>IF((B22*($B$26-($B$27-0.05*$B$27)-$B$60))&lt;0,0,B22*($B$26-($B$27-0.05*$B$27)-$B$60))</f>
        <v>713.37728051158365</v>
      </c>
      <c r="C33" s="34" t="s">
        <v>104</v>
      </c>
      <c r="D33" s="170"/>
    </row>
    <row r="34" spans="1:6">
      <c r="A34" s="167" t="s">
        <v>74</v>
      </c>
      <c r="B34" s="33">
        <f>IF((B24*($B$26-($B$27-0.05*$B$27)-$B$60))&lt;0,0,B24*($B$26-($B$27-0.05*$B$27)-$B$60))</f>
        <v>141.66210964690563</v>
      </c>
      <c r="C34" s="33">
        <f>B26*C24</f>
        <v>1276.2743547260775</v>
      </c>
      <c r="D34" s="229"/>
    </row>
    <row r="35" spans="1:6">
      <c r="A35" s="167" t="s">
        <v>76</v>
      </c>
      <c r="B35" s="33">
        <f>IF((B19*($B$26-($B$27-0.05*$B$27)-$B$60))&lt;0,0,B19*($B$26-($B$27-0.05*$B$27)-$B$60))</f>
        <v>69.180744292192955</v>
      </c>
      <c r="C35" s="33">
        <f>B35/2</f>
        <v>34.590372146096477</v>
      </c>
      <c r="D35" s="229"/>
    </row>
    <row r="36" spans="1:6">
      <c r="A36" s="167" t="s">
        <v>77</v>
      </c>
      <c r="B36" s="33">
        <f>IF((B18*($B$26-($B$27-0.05*$B$27)-$B$60))&lt;0,0,B18*($B$26-($B$27-0.05*$B$27)-$B$60))</f>
        <v>2229.6444300877124</v>
      </c>
      <c r="C36" s="34" t="s">
        <v>104</v>
      </c>
      <c r="D36" s="170"/>
    </row>
    <row r="37" spans="1:6">
      <c r="A37" s="167" t="s">
        <v>78</v>
      </c>
      <c r="B37" s="33">
        <f>B60</f>
        <v>34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10369.589297289998</v>
      </c>
      <c r="C5" s="17">
        <f>IF(ISERROR('Eigen informatie GS &amp; warmtenet'!B58),0,'Eigen informatie GS &amp; warmtenet'!B58)</f>
        <v>0</v>
      </c>
      <c r="D5" s="30">
        <f>SUM(D6:D12)</f>
        <v>10333.422909739598</v>
      </c>
      <c r="E5" s="17">
        <f>SUM(E6:E12)</f>
        <v>172.31496797058892</v>
      </c>
      <c r="F5" s="17">
        <f>SUM(F6:F12)</f>
        <v>2220.39482924197</v>
      </c>
      <c r="G5" s="18"/>
      <c r="H5" s="17"/>
      <c r="I5" s="17"/>
      <c r="J5" s="17">
        <f>SUM(J6:J12)</f>
        <v>1.6981557161224941E-2</v>
      </c>
      <c r="K5" s="17"/>
      <c r="L5" s="17"/>
      <c r="M5" s="17"/>
      <c r="N5" s="17">
        <f>SUM(N6:N12)</f>
        <v>602.39193715153567</v>
      </c>
      <c r="O5" s="17">
        <f>B38*B39*B40</f>
        <v>4.6900000000000004</v>
      </c>
      <c r="P5" s="17">
        <f>B46*B47*B48/1000-B46*B47*B48/1000/B49</f>
        <v>38.133333333333333</v>
      </c>
      <c r="R5" s="32"/>
    </row>
    <row r="6" spans="1:18">
      <c r="A6" s="32" t="s">
        <v>53</v>
      </c>
      <c r="B6" s="37">
        <f>B26</f>
        <v>1776.0834218999998</v>
      </c>
      <c r="C6" s="33"/>
      <c r="D6" s="37">
        <f>IF(ISERROR(TER_kantoor_gas_kWh/1000),0,TER_kantoor_gas_kWh/1000)*0.902</f>
        <v>3878.8073358847996</v>
      </c>
      <c r="E6" s="33">
        <f>$C$26*'E Balans VL '!I12/100/3.6*1000000</f>
        <v>1.0111537505852808E-18</v>
      </c>
      <c r="F6" s="33">
        <f>$C$26*('E Balans VL '!L12+'E Balans VL '!N12)/100/3.6*1000000</f>
        <v>240.09721379288152</v>
      </c>
      <c r="G6" s="34"/>
      <c r="H6" s="33"/>
      <c r="I6" s="33"/>
      <c r="J6" s="33">
        <f>$C$26*('E Balans VL '!D12+'E Balans VL '!E12)/100/3.6*1000000</f>
        <v>0</v>
      </c>
      <c r="K6" s="33"/>
      <c r="L6" s="33"/>
      <c r="M6" s="33"/>
      <c r="N6" s="33">
        <f>$C$26*'E Balans VL '!Y12/100/3.6*1000000</f>
        <v>2.2321759769132128</v>
      </c>
      <c r="O6" s="33"/>
      <c r="P6" s="33"/>
      <c r="R6" s="32"/>
    </row>
    <row r="7" spans="1:18">
      <c r="A7" s="32" t="s">
        <v>52</v>
      </c>
      <c r="B7" s="37">
        <f t="shared" ref="B7:B12" si="0">B27</f>
        <v>2453.9419736999998</v>
      </c>
      <c r="C7" s="33"/>
      <c r="D7" s="37">
        <f>IF(ISERROR(TER_horeca_gas_kWh/1000),0,TER_horeca_gas_kWh/1000)*0.902</f>
        <v>2344.8535347644001</v>
      </c>
      <c r="E7" s="33">
        <f>$C$27*'E Balans VL '!I9/100/3.6*1000000</f>
        <v>31.34183230565144</v>
      </c>
      <c r="F7" s="33">
        <f>$C$27*('E Balans VL '!L9+'E Balans VL '!N9)/100/3.6*1000000</f>
        <v>277.16171994960371</v>
      </c>
      <c r="G7" s="34"/>
      <c r="H7" s="33"/>
      <c r="I7" s="33"/>
      <c r="J7" s="33">
        <f>$C$27*('E Balans VL '!D9+'E Balans VL '!E9)/100/3.6*1000000</f>
        <v>0</v>
      </c>
      <c r="K7" s="33"/>
      <c r="L7" s="33"/>
      <c r="M7" s="33"/>
      <c r="N7" s="33">
        <f>$C$27*'E Balans VL '!Y9/100/3.6*1000000</f>
        <v>0.58478478873097783</v>
      </c>
      <c r="O7" s="33"/>
      <c r="P7" s="33"/>
      <c r="R7" s="32"/>
    </row>
    <row r="8" spans="1:18">
      <c r="A8" s="6" t="s">
        <v>51</v>
      </c>
      <c r="B8" s="37">
        <f t="shared" si="0"/>
        <v>3186.6216641000001</v>
      </c>
      <c r="C8" s="33"/>
      <c r="D8" s="37">
        <f>IF(ISERROR(TER_handel_gas_kWh/1000),0,TER_handel_gas_kWh/1000)*0.902</f>
        <v>1236.9164445946001</v>
      </c>
      <c r="E8" s="33">
        <f>$C$28*'E Balans VL '!I13/100/3.6*1000000</f>
        <v>104.06989129948126</v>
      </c>
      <c r="F8" s="33">
        <f>$C$28*('E Balans VL '!L13+'E Balans VL '!N13)/100/3.6*1000000</f>
        <v>551.73764932578126</v>
      </c>
      <c r="G8" s="34"/>
      <c r="H8" s="33"/>
      <c r="I8" s="33"/>
      <c r="J8" s="33">
        <f>$C$28*('E Balans VL '!D13+'E Balans VL '!E13)/100/3.6*1000000</f>
        <v>0</v>
      </c>
      <c r="K8" s="33"/>
      <c r="L8" s="33"/>
      <c r="M8" s="33"/>
      <c r="N8" s="33">
        <f>$C$28*'E Balans VL '!Y13/100/3.6*1000000</f>
        <v>3.7505653023508669</v>
      </c>
      <c r="O8" s="33"/>
      <c r="P8" s="33"/>
      <c r="R8" s="32"/>
    </row>
    <row r="9" spans="1:18">
      <c r="A9" s="32" t="s">
        <v>50</v>
      </c>
      <c r="B9" s="37">
        <f t="shared" si="0"/>
        <v>173.24291407000001</v>
      </c>
      <c r="C9" s="33"/>
      <c r="D9" s="37">
        <f>IF(ISERROR(TER_gezond_gas_kWh/1000),0,TER_gezond_gas_kWh/1000)*0.902</f>
        <v>296.89244650956005</v>
      </c>
      <c r="E9" s="33">
        <f>$C$29*'E Balans VL '!I10/100/3.6*1000000</f>
        <v>9.6743196265374962E-3</v>
      </c>
      <c r="F9" s="33">
        <f>$C$29*('E Balans VL '!L10+'E Balans VL '!N10)/100/3.6*1000000</f>
        <v>22.954041626234371</v>
      </c>
      <c r="G9" s="34"/>
      <c r="H9" s="33"/>
      <c r="I9" s="33"/>
      <c r="J9" s="33">
        <f>$C$29*('E Balans VL '!D10+'E Balans VL '!E10)/100/3.6*1000000</f>
        <v>0</v>
      </c>
      <c r="K9" s="33"/>
      <c r="L9" s="33"/>
      <c r="M9" s="33"/>
      <c r="N9" s="33">
        <f>$C$29*'E Balans VL '!Y10/100/3.6*1000000</f>
        <v>1.8362584471587409</v>
      </c>
      <c r="O9" s="33"/>
      <c r="P9" s="33"/>
      <c r="R9" s="32"/>
    </row>
    <row r="10" spans="1:18">
      <c r="A10" s="32" t="s">
        <v>49</v>
      </c>
      <c r="B10" s="37">
        <f t="shared" si="0"/>
        <v>1134.5162531999999</v>
      </c>
      <c r="C10" s="33"/>
      <c r="D10" s="37">
        <f>IF(ISERROR(TER_ander_gas_kWh/1000),0,TER_ander_gas_kWh/1000)*0.902</f>
        <v>669.06448743991996</v>
      </c>
      <c r="E10" s="33">
        <f>$C$30*'E Balans VL '!I14/100/3.6*1000000</f>
        <v>14.650490769225351</v>
      </c>
      <c r="F10" s="33">
        <f>$C$30*('E Balans VL '!L14+'E Balans VL '!N14)/100/3.6*1000000</f>
        <v>748.86164889055465</v>
      </c>
      <c r="G10" s="34"/>
      <c r="H10" s="33"/>
      <c r="I10" s="33"/>
      <c r="J10" s="33">
        <f>$C$30*('E Balans VL '!D14+'E Balans VL '!E14)/100/3.6*1000000</f>
        <v>1.3743773075046215E-2</v>
      </c>
      <c r="K10" s="33"/>
      <c r="L10" s="33"/>
      <c r="M10" s="33"/>
      <c r="N10" s="33">
        <f>$C$30*'E Balans VL '!Y14/100/3.6*1000000</f>
        <v>478.42088471382482</v>
      </c>
      <c r="O10" s="33"/>
      <c r="P10" s="33"/>
      <c r="R10" s="32"/>
    </row>
    <row r="11" spans="1:18">
      <c r="A11" s="32" t="s">
        <v>54</v>
      </c>
      <c r="B11" s="37">
        <f t="shared" si="0"/>
        <v>166.27127562000001</v>
      </c>
      <c r="C11" s="33"/>
      <c r="D11" s="37">
        <f>IF(ISERROR(TER_onderwijs_gas_kWh/1000),0,TER_onderwijs_gas_kWh/1000)*0.902</f>
        <v>193.31865025132001</v>
      </c>
      <c r="E11" s="33">
        <f>$C$31*'E Balans VL '!I11/100/3.6*1000000</f>
        <v>2.2375988909140201</v>
      </c>
      <c r="F11" s="33">
        <f>$C$31*('E Balans VL '!L11+'E Balans VL '!N11)/100/3.6*1000000</f>
        <v>25.984421755122025</v>
      </c>
      <c r="G11" s="34"/>
      <c r="H11" s="33"/>
      <c r="I11" s="33"/>
      <c r="J11" s="33">
        <f>$C$31*('E Balans VL '!D11+'E Balans VL '!E11)/100/3.6*1000000</f>
        <v>0</v>
      </c>
      <c r="K11" s="33"/>
      <c r="L11" s="33"/>
      <c r="M11" s="33"/>
      <c r="N11" s="33">
        <f>$C$31*'E Balans VL '!Y11/100/3.6*1000000</f>
        <v>0.38392825422847271</v>
      </c>
      <c r="O11" s="33"/>
      <c r="P11" s="33"/>
      <c r="R11" s="32"/>
    </row>
    <row r="12" spans="1:18">
      <c r="A12" s="32" t="s">
        <v>249</v>
      </c>
      <c r="B12" s="37">
        <f t="shared" si="0"/>
        <v>1478.9117947</v>
      </c>
      <c r="C12" s="33"/>
      <c r="D12" s="37">
        <f>IF(ISERROR(TER_rest_gas_kWh/1000),0,TER_rest_gas_kWh/1000)*0.902</f>
        <v>1713.570010295</v>
      </c>
      <c r="E12" s="33">
        <f>$C$32*'E Balans VL '!I8/100/3.6*1000000</f>
        <v>20.00548038569034</v>
      </c>
      <c r="F12" s="33">
        <f>$C$32*('E Balans VL '!L8+'E Balans VL '!N8)/100/3.6*1000000</f>
        <v>353.59813390179306</v>
      </c>
      <c r="G12" s="34"/>
      <c r="H12" s="33"/>
      <c r="I12" s="33"/>
      <c r="J12" s="33">
        <f>$C$32*('E Balans VL '!D8+'E Balans VL '!E8)/100/3.6*1000000</f>
        <v>3.2377840861787261E-3</v>
      </c>
      <c r="K12" s="33"/>
      <c r="L12" s="33"/>
      <c r="M12" s="33"/>
      <c r="N12" s="33">
        <f>$C$32*'E Balans VL '!Y8/100/3.6*1000000</f>
        <v>115.1833396683286</v>
      </c>
      <c r="O12" s="33"/>
      <c r="P12" s="33"/>
      <c r="R12" s="32"/>
    </row>
    <row r="13" spans="1:18">
      <c r="A13" s="16" t="s">
        <v>477</v>
      </c>
      <c r="B13" s="242">
        <f ca="1">'lokale energieproductie'!N38+'lokale energieproductie'!N31</f>
        <v>40.5</v>
      </c>
      <c r="C13" s="242">
        <f ca="1">'lokale energieproductie'!O38+'lokale energieproductie'!O31</f>
        <v>45.5625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-101.25</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10410.089297289998</v>
      </c>
      <c r="C16" s="21">
        <f t="shared" ca="1" si="1"/>
        <v>45.5625</v>
      </c>
      <c r="D16" s="21">
        <f t="shared" ca="1" si="1"/>
        <v>10333.422909739598</v>
      </c>
      <c r="E16" s="21">
        <f t="shared" si="1"/>
        <v>172.31496797058892</v>
      </c>
      <c r="F16" s="21">
        <f t="shared" ca="1" si="1"/>
        <v>2220.39482924197</v>
      </c>
      <c r="G16" s="21">
        <f t="shared" si="1"/>
        <v>0</v>
      </c>
      <c r="H16" s="21">
        <f t="shared" si="1"/>
        <v>0</v>
      </c>
      <c r="I16" s="21">
        <f t="shared" si="1"/>
        <v>0</v>
      </c>
      <c r="J16" s="21">
        <f t="shared" si="1"/>
        <v>1.6981557161224941E-2</v>
      </c>
      <c r="K16" s="21">
        <f t="shared" si="1"/>
        <v>0</v>
      </c>
      <c r="L16" s="21">
        <f t="shared" ca="1" si="1"/>
        <v>0</v>
      </c>
      <c r="M16" s="21">
        <f t="shared" si="1"/>
        <v>0</v>
      </c>
      <c r="N16" s="21">
        <f t="shared" ca="1" si="1"/>
        <v>602.39193715153567</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0.11401236152466514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1186.8788644666745</v>
      </c>
      <c r="C20" s="23">
        <f t="shared" ref="C20:P20" ca="1" si="2">C16*C18</f>
        <v>0</v>
      </c>
      <c r="D20" s="23">
        <f t="shared" ca="1" si="2"/>
        <v>2087.3514277673989</v>
      </c>
      <c r="E20" s="23">
        <f t="shared" si="2"/>
        <v>39.115497729323685</v>
      </c>
      <c r="F20" s="23">
        <f t="shared" ca="1" si="2"/>
        <v>592.84541940760607</v>
      </c>
      <c r="G20" s="23">
        <f t="shared" si="2"/>
        <v>0</v>
      </c>
      <c r="H20" s="23">
        <f t="shared" si="2"/>
        <v>0</v>
      </c>
      <c r="I20" s="23">
        <f t="shared" si="2"/>
        <v>0</v>
      </c>
      <c r="J20" s="23">
        <f t="shared" si="2"/>
        <v>6.011471235073629E-3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1776.0834218999998</v>
      </c>
      <c r="C26" s="39">
        <f>IF(ISERROR(B26*3.6/1000000/'E Balans VL '!Z12*100),0,B26*3.6/1000000/'E Balans VL '!Z12*100)</f>
        <v>4.765446966139459E-2</v>
      </c>
      <c r="D26" s="232" t="s">
        <v>621</v>
      </c>
      <c r="F26" s="6"/>
    </row>
    <row r="27" spans="1:18">
      <c r="A27" s="227" t="s">
        <v>52</v>
      </c>
      <c r="B27" s="33">
        <f>IF(ISERROR(TER_horeca_ele_kWh/1000),0,TER_horeca_ele_kWh/1000)</f>
        <v>2453.9419736999998</v>
      </c>
      <c r="C27" s="39">
        <f>IF(ISERROR(B27*3.6/1000000/'E Balans VL '!Z9*100),0,B27*3.6/1000000/'E Balans VL '!Z9*100)</f>
        <v>0.19494854857036015</v>
      </c>
      <c r="D27" s="232" t="s">
        <v>621</v>
      </c>
      <c r="F27" s="6"/>
    </row>
    <row r="28" spans="1:18">
      <c r="A28" s="167" t="s">
        <v>51</v>
      </c>
      <c r="B28" s="33">
        <f>IF(ISERROR(TER_handel_ele_kWh/1000),0,TER_handel_ele_kWh/1000)</f>
        <v>3186.6216641000001</v>
      </c>
      <c r="C28" s="39">
        <f>IF(ISERROR(B28*3.6/1000000/'E Balans VL '!Z13*100),0,B28*3.6/1000000/'E Balans VL '!Z13*100)</f>
        <v>9.3208306828516718E-2</v>
      </c>
      <c r="D28" s="232" t="s">
        <v>621</v>
      </c>
      <c r="F28" s="6"/>
    </row>
    <row r="29" spans="1:18">
      <c r="A29" s="227" t="s">
        <v>50</v>
      </c>
      <c r="B29" s="33">
        <f>IF(ISERROR(TER_gezond_ele_kWh/1000),0,TER_gezond_ele_kWh/1000)</f>
        <v>173.24291407000001</v>
      </c>
      <c r="C29" s="39">
        <f>IF(ISERROR(B29*3.6/1000000/'E Balans VL '!Z10*100),0,B29*3.6/1000000/'E Balans VL '!Z10*100)</f>
        <v>1.8387293725502265E-2</v>
      </c>
      <c r="D29" s="232" t="s">
        <v>621</v>
      </c>
      <c r="F29" s="6"/>
    </row>
    <row r="30" spans="1:18">
      <c r="A30" s="227" t="s">
        <v>49</v>
      </c>
      <c r="B30" s="33">
        <f>IF(ISERROR(TER_ander_ele_kWh/1000),0,TER_ander_ele_kWh/1000)</f>
        <v>1134.5162531999999</v>
      </c>
      <c r="C30" s="39">
        <f>IF(ISERROR(B30*3.6/1000000/'E Balans VL '!Z14*100),0,B30*3.6/1000000/'E Balans VL '!Z14*100)</f>
        <v>5.2770459759136489E-2</v>
      </c>
      <c r="D30" s="232" t="s">
        <v>621</v>
      </c>
      <c r="F30" s="6"/>
    </row>
    <row r="31" spans="1:18">
      <c r="A31" s="227" t="s">
        <v>54</v>
      </c>
      <c r="B31" s="33">
        <f>IF(ISERROR(TER_onderwijs_ele_kWh/1000),0,TER_onderwijs_ele_kWh/1000)</f>
        <v>166.27127562000001</v>
      </c>
      <c r="C31" s="39">
        <f>IF(ISERROR(B31*3.6/1000000/'E Balans VL '!Z11*100),0,B31*3.6/1000000/'E Balans VL '!Z11*100)</f>
        <v>4.1614254197354837E-2</v>
      </c>
      <c r="D31" s="232" t="s">
        <v>621</v>
      </c>
    </row>
    <row r="32" spans="1:18">
      <c r="A32" s="227" t="s">
        <v>249</v>
      </c>
      <c r="B32" s="33">
        <f>IF(ISERROR(TER_rest_ele_kWh/1000),0,TER_rest_ele_kWh/1000)</f>
        <v>1478.9117947</v>
      </c>
      <c r="C32" s="39">
        <f>IF(ISERROR(B32*3.6/1000000/'E Balans VL '!Z8*100),0,B32*3.6/1000000/'E Balans VL '!Z8*100)</f>
        <v>1.2431764836010465E-2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2889.9520967689996</v>
      </c>
      <c r="C5" s="17">
        <f>IF(ISERROR('Eigen informatie GS &amp; warmtenet'!B59),0,'Eigen informatie GS &amp; warmtenet'!B59)</f>
        <v>0</v>
      </c>
      <c r="D5" s="30">
        <f>SUM(D6:D15)</f>
        <v>10761.77378582966</v>
      </c>
      <c r="E5" s="17">
        <f>SUM(E6:E15)</f>
        <v>334.79596605323002</v>
      </c>
      <c r="F5" s="17">
        <f>SUM(F6:F15)</f>
        <v>1253.7197075051922</v>
      </c>
      <c r="G5" s="18"/>
      <c r="H5" s="17"/>
      <c r="I5" s="17"/>
      <c r="J5" s="17">
        <f>SUM(J6:J15)</f>
        <v>11.951923834147333</v>
      </c>
      <c r="K5" s="17"/>
      <c r="L5" s="17"/>
      <c r="M5" s="17"/>
      <c r="N5" s="17">
        <f>SUM(N6:N15)</f>
        <v>264.68038790249233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70.814726318999988</v>
      </c>
      <c r="C8" s="33"/>
      <c r="D8" s="37">
        <f>IF( ISERROR(IND_metaal_Gas_kWH/1000),0,IND_metaal_Gas_kWH/1000)*0.902</f>
        <v>0</v>
      </c>
      <c r="E8" s="33">
        <f>C30*'E Balans VL '!I18/100/3.6*1000000</f>
        <v>2.5481280820268957</v>
      </c>
      <c r="F8" s="33">
        <f>C30*'E Balans VL '!L18/100/3.6*1000000+C30*'E Balans VL '!N18/100/3.6*1000000</f>
        <v>30.922495417059729</v>
      </c>
      <c r="G8" s="34"/>
      <c r="H8" s="33"/>
      <c r="I8" s="33"/>
      <c r="J8" s="40">
        <f>C30*'E Balans VL '!D18/100/3.6*1000000+C30*'E Balans VL '!E18/100/3.6*1000000</f>
        <v>0</v>
      </c>
      <c r="K8" s="33"/>
      <c r="L8" s="33"/>
      <c r="M8" s="33"/>
      <c r="N8" s="33">
        <f>C30*'E Balans VL '!Y18/100/3.6*1000000</f>
        <v>3.5491859594025765</v>
      </c>
      <c r="O8" s="33"/>
      <c r="P8" s="33"/>
      <c r="R8" s="32"/>
    </row>
    <row r="9" spans="1:18">
      <c r="A9" s="6" t="s">
        <v>32</v>
      </c>
      <c r="B9" s="37">
        <f t="shared" si="0"/>
        <v>953.82263933000002</v>
      </c>
      <c r="C9" s="33"/>
      <c r="D9" s="37">
        <f>IF( ISERROR(IND_andere_gas_kWh/1000),0,IND_andere_gas_kWh/1000)*0.902</f>
        <v>912.75360584539999</v>
      </c>
      <c r="E9" s="33">
        <f>C31*'E Balans VL '!I19/100/3.6*1000000</f>
        <v>243.39395671534425</v>
      </c>
      <c r="F9" s="33">
        <f>C31*'E Balans VL '!L19/100/3.6*1000000+C31*'E Balans VL '!N19/100/3.6*1000000</f>
        <v>821.16960036640887</v>
      </c>
      <c r="G9" s="34"/>
      <c r="H9" s="33"/>
      <c r="I9" s="33"/>
      <c r="J9" s="40">
        <f>C31*'E Balans VL '!D19/100/3.6*1000000+C31*'E Balans VL '!E19/100/3.6*1000000</f>
        <v>0</v>
      </c>
      <c r="K9" s="33"/>
      <c r="L9" s="33"/>
      <c r="M9" s="33"/>
      <c r="N9" s="33">
        <f>C31*'E Balans VL '!Y19/100/3.6*1000000</f>
        <v>75.245444881210886</v>
      </c>
      <c r="O9" s="33"/>
      <c r="P9" s="33"/>
      <c r="R9" s="32"/>
    </row>
    <row r="10" spans="1:18">
      <c r="A10" s="6" t="s">
        <v>40</v>
      </c>
      <c r="B10" s="37">
        <f t="shared" si="0"/>
        <v>277.92113031999997</v>
      </c>
      <c r="C10" s="33"/>
      <c r="D10" s="37">
        <f>IF( ISERROR(IND_voed_gas_kWh/1000),0,IND_voed_gas_kWh/1000)*0.902</f>
        <v>124.37091305826</v>
      </c>
      <c r="E10" s="33">
        <f>C32*'E Balans VL '!I20/100/3.6*1000000</f>
        <v>7.0651367497191933</v>
      </c>
      <c r="F10" s="33">
        <f>C32*'E Balans VL '!L20/100/3.6*1000000+C32*'E Balans VL '!N20/100/3.6*1000000</f>
        <v>62.889379835460176</v>
      </c>
      <c r="G10" s="34"/>
      <c r="H10" s="33"/>
      <c r="I10" s="33"/>
      <c r="J10" s="40">
        <f>C32*'E Balans VL '!D20/100/3.6*1000000+C32*'E Balans VL '!E20/100/3.6*1000000</f>
        <v>0</v>
      </c>
      <c r="K10" s="33"/>
      <c r="L10" s="33"/>
      <c r="M10" s="33"/>
      <c r="N10" s="33">
        <f>C32*'E Balans VL '!Y20/100/3.6*1000000</f>
        <v>104.22795721855144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132.13145710000001</v>
      </c>
      <c r="C12" s="33"/>
      <c r="D12" s="37">
        <f>IF( ISERROR(IND_min_gas_kWh/1000),0,IND_min_gas_kWh/1000)*0.902</f>
        <v>0</v>
      </c>
      <c r="E12" s="33">
        <f>C34*'E Balans VL '!I22/100/3.6*1000000</f>
        <v>2.80746231258192</v>
      </c>
      <c r="F12" s="33">
        <f>C34*'E Balans VL '!L22/100/3.6*1000000+C34*'E Balans VL '!N22/100/3.6*1000000</f>
        <v>21.55837326317263</v>
      </c>
      <c r="G12" s="34"/>
      <c r="H12" s="33"/>
      <c r="I12" s="33"/>
      <c r="J12" s="40">
        <f>C34*'E Balans VL '!D22/100/3.6*1000000+C34*'E Balans VL '!E22/100/3.6*1000000</f>
        <v>0.15394547809672138</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1455.2621436999998</v>
      </c>
      <c r="C15" s="33"/>
      <c r="D15" s="37">
        <f>IF( ISERROR(IND_rest_gas_kWh/1000),0,IND_rest_gas_kWh/1000)*0.902</f>
        <v>9724.6492669260006</v>
      </c>
      <c r="E15" s="33">
        <f>C37*'E Balans VL '!I15/100/3.6*1000000</f>
        <v>78.98128219355776</v>
      </c>
      <c r="F15" s="33">
        <f>C37*'E Balans VL '!L15/100/3.6*1000000+C37*'E Balans VL '!N15/100/3.6*1000000</f>
        <v>317.17985862309075</v>
      </c>
      <c r="G15" s="34"/>
      <c r="H15" s="33"/>
      <c r="I15" s="33"/>
      <c r="J15" s="40">
        <f>C37*'E Balans VL '!D15/100/3.6*1000000+C37*'E Balans VL '!E15/100/3.6*1000000</f>
        <v>11.797978356050612</v>
      </c>
      <c r="K15" s="33"/>
      <c r="L15" s="33"/>
      <c r="M15" s="33"/>
      <c r="N15" s="33">
        <f>C37*'E Balans VL '!Y15/100/3.6*1000000</f>
        <v>81.657799843327439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2889.9520967689996</v>
      </c>
      <c r="C18" s="21">
        <f>C5+C16</f>
        <v>0</v>
      </c>
      <c r="D18" s="21">
        <f>MAX((D5+D16),0)</f>
        <v>10761.77378582966</v>
      </c>
      <c r="E18" s="21">
        <f>MAX((E5+E16),0)</f>
        <v>334.79596605323002</v>
      </c>
      <c r="F18" s="21">
        <f>MAX((F5+F16),0)</f>
        <v>1253.7197075051922</v>
      </c>
      <c r="G18" s="21"/>
      <c r="H18" s="21"/>
      <c r="I18" s="21"/>
      <c r="J18" s="21">
        <f>MAX((J5+J16),0)</f>
        <v>11.951923834147333</v>
      </c>
      <c r="K18" s="21"/>
      <c r="L18" s="21">
        <f>MAX((L5+L16),0)</f>
        <v>0</v>
      </c>
      <c r="M18" s="21"/>
      <c r="N18" s="21">
        <f>MAX((N5+N16),0)</f>
        <v>264.68038790249233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0.11401236152466514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329.49026324579125</v>
      </c>
      <c r="C22" s="23">
        <f ca="1">C18*C20</f>
        <v>0</v>
      </c>
      <c r="D22" s="23">
        <f>D18*D20</f>
        <v>2173.8783047375914</v>
      </c>
      <c r="E22" s="23">
        <f>E18*E20</f>
        <v>75.998684294083219</v>
      </c>
      <c r="F22" s="23">
        <f>F18*F20</f>
        <v>334.74316190388635</v>
      </c>
      <c r="G22" s="23"/>
      <c r="H22" s="23"/>
      <c r="I22" s="23"/>
      <c r="J22" s="23">
        <f>J18*J20</f>
        <v>4.2309810372881556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70.814726318999988</v>
      </c>
      <c r="C30" s="39">
        <f>IF(ISERROR(B30*3.6/1000000/'E Balans VL '!Z18*100),0,B30*3.6/1000000/'E Balans VL '!Z18*100)</f>
        <v>1.5004122279277533E-2</v>
      </c>
      <c r="D30" s="232" t="s">
        <v>621</v>
      </c>
    </row>
    <row r="31" spans="1:18">
      <c r="A31" s="6" t="s">
        <v>32</v>
      </c>
      <c r="B31" s="37">
        <f>IF( ISERROR(IND_ander_ele_kWh/1000),0,IND_ander_ele_kWh/1000)</f>
        <v>953.82263933000002</v>
      </c>
      <c r="C31" s="39">
        <f>IF(ISERROR(B31*3.6/1000000/'E Balans VL '!Z19*100),0,B31*3.6/1000000/'E Balans VL '!Z19*100)</f>
        <v>4.0148560701212949E-2</v>
      </c>
      <c r="D31" s="232" t="s">
        <v>621</v>
      </c>
    </row>
    <row r="32" spans="1:18">
      <c r="A32" s="167" t="s">
        <v>40</v>
      </c>
      <c r="B32" s="37">
        <f>IF( ISERROR(IND_voed_ele_kWh/1000),0,IND_voed_ele_kWh/1000)</f>
        <v>277.92113031999997</v>
      </c>
      <c r="C32" s="39">
        <f>IF(ISERROR(B32*3.6/1000000/'E Balans VL '!Z20*100),0,B32*3.6/1000000/'E Balans VL '!Z20*100)</f>
        <v>4.642986928127997E-2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132.13145710000001</v>
      </c>
      <c r="C34" s="39">
        <f>IF(ISERROR(B34*3.6/1000000/'E Balans VL '!Z22*100),0,B34*3.6/1000000/'E Balans VL '!Z22*100)</f>
        <v>1.6748374770268557E-2</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1455.2621436999998</v>
      </c>
      <c r="C37" s="39">
        <f>IF(ISERROR(B37*3.6/1000000/'E Balans VL '!Z15*100),0,B37*3.6/1000000/'E Balans VL '!Z15*100)</f>
        <v>1.1748894789419607E-2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883.33065053599989</v>
      </c>
      <c r="C5" s="17">
        <f>'Eigen informatie GS &amp; warmtenet'!B60</f>
        <v>0</v>
      </c>
      <c r="D5" s="30">
        <f>IF(ISERROR(SUM(LB_lb_gas_kWh,LB_rest_gas_kWh)/1000),0,SUM(LB_lb_gas_kWh,LB_rest_gas_kWh)/1000)*0.902</f>
        <v>822.3195587910601</v>
      </c>
      <c r="E5" s="17">
        <f>B17*'E Balans VL '!I25/3.6*1000000/100</f>
        <v>17.499539857964074</v>
      </c>
      <c r="F5" s="17">
        <f>B17*('E Balans VL '!L25/3.6*1000000+'E Balans VL '!N25/3.6*1000000)/100</f>
        <v>3221.2577464068268</v>
      </c>
      <c r="G5" s="18"/>
      <c r="H5" s="17"/>
      <c r="I5" s="17"/>
      <c r="J5" s="17">
        <f>('E Balans VL '!D25+'E Balans VL '!E25)/3.6*1000000*landbouw!B17/100</f>
        <v>209.73828502419343</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883.33065053599989</v>
      </c>
      <c r="C8" s="21">
        <f>C5+C6</f>
        <v>0</v>
      </c>
      <c r="D8" s="21">
        <f>MAX((D5+D6),0)</f>
        <v>822.3195587910601</v>
      </c>
      <c r="E8" s="21">
        <f>MAX((E5+E6),0)</f>
        <v>17.499539857964074</v>
      </c>
      <c r="F8" s="21">
        <f>MAX((F5+F6),0)</f>
        <v>3221.2577464068268</v>
      </c>
      <c r="G8" s="21"/>
      <c r="H8" s="21"/>
      <c r="I8" s="21"/>
      <c r="J8" s="21">
        <f>MAX((J5+J6),0)</f>
        <v>209.73828502419343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0.11401236152466514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100.71061347472806</v>
      </c>
      <c r="C12" s="23">
        <f ca="1">C8*C10</f>
        <v>0</v>
      </c>
      <c r="D12" s="23">
        <f>D8*D10</f>
        <v>166.10855087579415</v>
      </c>
      <c r="E12" s="23">
        <f>E8*E10</f>
        <v>3.972395547757845</v>
      </c>
      <c r="F12" s="23">
        <f>F8*F10</f>
        <v>860.07581829062281</v>
      </c>
      <c r="G12" s="23"/>
      <c r="H12" s="23"/>
      <c r="I12" s="23"/>
      <c r="J12" s="23">
        <f>J8*J10</f>
        <v>74.247352898564472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0.12455547277660778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259.46655411468635</v>
      </c>
      <c r="C26" s="242">
        <f>B26*'GWP N2O_CH4'!B5</f>
        <v>5448.7976364084134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55.890904267707342</v>
      </c>
      <c r="C27" s="242">
        <f>B27*'GWP N2O_CH4'!B5</f>
        <v>1173.7089896218542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3.7283301882342554</v>
      </c>
      <c r="C28" s="242">
        <f>B28*'GWP N2O_CH4'!B4</f>
        <v>1155.7823583526192</v>
      </c>
      <c r="D28" s="50"/>
    </row>
    <row r="29" spans="1:4">
      <c r="A29" s="41" t="s">
        <v>266</v>
      </c>
      <c r="B29" s="242">
        <f>B34*'ha_N2O bodem landbouw'!B4</f>
        <v>12.096604929675404</v>
      </c>
      <c r="C29" s="242">
        <f>B29*'GWP N2O_CH4'!B4</f>
        <v>3749.9475281993755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2.7223934578107186E-3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5.6299598241925356E-5</v>
      </c>
      <c r="C5" s="427" t="s">
        <v>204</v>
      </c>
      <c r="D5" s="412">
        <f>SUM(D6:D11)</f>
        <v>1.0074115207076541E-4</v>
      </c>
      <c r="E5" s="412">
        <f>SUM(E6:E11)</f>
        <v>4.4957746704745382E-4</v>
      </c>
      <c r="F5" s="425" t="s">
        <v>204</v>
      </c>
      <c r="G5" s="412">
        <f>SUM(G6:G11)</f>
        <v>0.17473873092943981</v>
      </c>
      <c r="H5" s="412">
        <f>SUM(H6:H11)</f>
        <v>3.4553763647049526E-2</v>
      </c>
      <c r="I5" s="427" t="s">
        <v>204</v>
      </c>
      <c r="J5" s="427" t="s">
        <v>204</v>
      </c>
      <c r="K5" s="427" t="s">
        <v>204</v>
      </c>
      <c r="L5" s="427" t="s">
        <v>204</v>
      </c>
      <c r="M5" s="412">
        <f>SUM(M6:M11)</f>
        <v>6.532847759343775E-3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3.284116686340686E-5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5.174879358413867E-5</v>
      </c>
      <c r="E6" s="818">
        <f>vkm_GW_PW*SUMIFS(TableVerdeelsleutelVkm[LPG],TableVerdeelsleutelVkm[Voertuigtype],"Lichte voertuigen")*SUMIFS(TableECFTransport[EnergieConsumptieFactor (PJ per km)],TableECFTransport[Index],CONCATENATE($A6,"_LPG_LPG"))</f>
        <v>2.362210588845086E-4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6.3780145630205121E-2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1.8009632358521693E-2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2.5462805982086373E-3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9.8427901178679327E-7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3.392698015318911E-2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6.892554942334205E-7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1.0673470067924229E-3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2.194796179927845E-5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4.8992358486626731E-5</v>
      </c>
      <c r="E8" s="415">
        <f>vkm_NGW_PW*SUMIFS(TableVerdeelsleutelVkm[LPG],TableVerdeelsleutelVkm[Voertuigtype],"Lichte voertuigen")*SUMIFS(TableECFTransport[EnergieConsumptieFactor (PJ per km)],TableECFTransport[Index],CONCATENATE($A8,"_LPG_LPG"))</f>
        <v>2.1335640816294525E-4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5.3711467139189915E-2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1.6542997277339499E-2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2.1855665876203091E-3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5.2619056745325169E-7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2.3320138006855676E-2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4.4475569410004985E-7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7.3365356672240633E-4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15.638777289423709</v>
      </c>
      <c r="C14" s="21"/>
      <c r="D14" s="21">
        <f t="shared" ref="D14:M14" si="0">((D5)*10^9/3600)+D12</f>
        <v>27.983653352990391</v>
      </c>
      <c r="E14" s="21">
        <f t="shared" si="0"/>
        <v>124.88262973540384</v>
      </c>
      <c r="F14" s="21"/>
      <c r="G14" s="21">
        <f t="shared" si="0"/>
        <v>48538.536369288835</v>
      </c>
      <c r="H14" s="21">
        <f t="shared" si="0"/>
        <v>9598.2676797359782</v>
      </c>
      <c r="I14" s="21"/>
      <c r="J14" s="21"/>
      <c r="K14" s="21"/>
      <c r="L14" s="21"/>
      <c r="M14" s="21">
        <f t="shared" si="0"/>
        <v>1814.6799331510485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0.11401236152466514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1.7830139301254986</v>
      </c>
      <c r="C18" s="23"/>
      <c r="D18" s="23">
        <f t="shared" ref="D18:M18" si="1">D14*D16</f>
        <v>5.6526979773040598</v>
      </c>
      <c r="E18" s="23">
        <f t="shared" si="1"/>
        <v>28.348356949936672</v>
      </c>
      <c r="F18" s="23"/>
      <c r="G18" s="23">
        <f t="shared" si="1"/>
        <v>12959.78921060012</v>
      </c>
      <c r="H18" s="23">
        <f t="shared" si="1"/>
        <v>2389.9686522542584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1.6784903505102745E-5</v>
      </c>
      <c r="C50" s="311">
        <f t="shared" ref="C50:P50" si="2">SUM(C51:C52)</f>
        <v>0</v>
      </c>
      <c r="D50" s="311">
        <f t="shared" si="2"/>
        <v>0</v>
      </c>
      <c r="E50" s="311">
        <f t="shared" si="2"/>
        <v>0</v>
      </c>
      <c r="F50" s="311">
        <f t="shared" si="2"/>
        <v>0</v>
      </c>
      <c r="G50" s="311">
        <f t="shared" si="2"/>
        <v>2.9927838308270449E-3</v>
      </c>
      <c r="H50" s="311">
        <f t="shared" si="2"/>
        <v>0</v>
      </c>
      <c r="I50" s="311">
        <f t="shared" si="2"/>
        <v>0</v>
      </c>
      <c r="J50" s="311">
        <f t="shared" si="2"/>
        <v>0</v>
      </c>
      <c r="K50" s="311">
        <f t="shared" si="2"/>
        <v>0</v>
      </c>
      <c r="L50" s="311">
        <f t="shared" si="2"/>
        <v>0</v>
      </c>
      <c r="M50" s="311">
        <f t="shared" si="2"/>
        <v>9.342311525652957E-5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1.6784903505102745E-5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2.9927838308270449E-3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9.342311525652957E-5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4.6624731958618737</v>
      </c>
      <c r="C54" s="21">
        <f t="shared" ref="C54:P54" si="3">(C50)*10^9/3600</f>
        <v>0</v>
      </c>
      <c r="D54" s="21">
        <f t="shared" si="3"/>
        <v>0</v>
      </c>
      <c r="E54" s="21">
        <f t="shared" si="3"/>
        <v>0</v>
      </c>
      <c r="F54" s="21">
        <f t="shared" si="3"/>
        <v>0</v>
      </c>
      <c r="G54" s="21">
        <f t="shared" si="3"/>
        <v>831.32884189640129</v>
      </c>
      <c r="H54" s="21">
        <f t="shared" si="3"/>
        <v>0</v>
      </c>
      <c r="I54" s="21">
        <f t="shared" si="3"/>
        <v>0</v>
      </c>
      <c r="J54" s="21">
        <f t="shared" si="3"/>
        <v>0</v>
      </c>
      <c r="K54" s="21">
        <f t="shared" si="3"/>
        <v>0</v>
      </c>
      <c r="L54" s="21">
        <f t="shared" si="3"/>
        <v>0</v>
      </c>
      <c r="M54" s="21">
        <f t="shared" si="3"/>
        <v>25.95086534903599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0.11401236152466514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0.53157957960566482</v>
      </c>
      <c r="C58" s="23">
        <f t="shared" ref="C58:P58" ca="1" si="4">C54*C56</f>
        <v>0</v>
      </c>
      <c r="D58" s="23">
        <f t="shared" si="4"/>
        <v>0</v>
      </c>
      <c r="E58" s="23">
        <f t="shared" si="4"/>
        <v>0</v>
      </c>
      <c r="F58" s="23">
        <f t="shared" si="4"/>
        <v>0</v>
      </c>
      <c r="G58" s="23">
        <f t="shared" si="4"/>
        <v>221.96480078633917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19843.327069001127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3106.164829943315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40.5</v>
      </c>
      <c r="C8" s="534">
        <f>B48</f>
        <v>0</v>
      </c>
      <c r="D8" s="961"/>
      <c r="E8" s="961">
        <f>E48</f>
        <v>0</v>
      </c>
      <c r="F8" s="962"/>
      <c r="G8" s="535"/>
      <c r="H8" s="961">
        <f>I48</f>
        <v>0</v>
      </c>
      <c r="I8" s="961">
        <f>G48+F48</f>
        <v>47.647058823529413</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22989.991898944441</v>
      </c>
      <c r="C10" s="547">
        <f t="shared" ref="C10:L10" si="0">SUM(C8:C9)</f>
        <v>0</v>
      </c>
      <c r="D10" s="547">
        <f t="shared" si="0"/>
        <v>0</v>
      </c>
      <c r="E10" s="547">
        <f t="shared" si="0"/>
        <v>0</v>
      </c>
      <c r="F10" s="547">
        <f t="shared" si="0"/>
        <v>0</v>
      </c>
      <c r="G10" s="547">
        <f t="shared" si="0"/>
        <v>0</v>
      </c>
      <c r="H10" s="547">
        <f t="shared" si="0"/>
        <v>0</v>
      </c>
      <c r="I10" s="547">
        <f t="shared" si="0"/>
        <v>47.647058823529413</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45.5625</v>
      </c>
      <c r="C17" s="559">
        <f>B49</f>
        <v>0</v>
      </c>
      <c r="D17" s="560"/>
      <c r="E17" s="560">
        <f>E49</f>
        <v>0</v>
      </c>
      <c r="F17" s="967"/>
      <c r="G17" s="561"/>
      <c r="H17" s="559">
        <f>I49</f>
        <v>0</v>
      </c>
      <c r="I17" s="560">
        <f>G49+F49</f>
        <v>53.602941176470587</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45.5625</v>
      </c>
      <c r="C20" s="546">
        <f>SUM(C17:C19)</f>
        <v>0</v>
      </c>
      <c r="D20" s="546">
        <f t="shared" ref="D20:L20" si="1">SUM(D17:D19)</f>
        <v>0</v>
      </c>
      <c r="E20" s="546">
        <f t="shared" si="1"/>
        <v>0</v>
      </c>
      <c r="F20" s="546">
        <f t="shared" si="1"/>
        <v>0</v>
      </c>
      <c r="G20" s="546">
        <f t="shared" si="1"/>
        <v>0</v>
      </c>
      <c r="H20" s="546">
        <f t="shared" si="1"/>
        <v>0</v>
      </c>
      <c r="I20" s="546">
        <f t="shared" si="1"/>
        <v>53.602941176470587</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42003</v>
      </c>
      <c r="C28" s="724">
        <v>9290</v>
      </c>
      <c r="D28" s="617"/>
      <c r="E28" s="616"/>
      <c r="F28" s="616"/>
      <c r="G28" s="616" t="s">
        <v>887</v>
      </c>
      <c r="H28" s="616" t="s">
        <v>888</v>
      </c>
      <c r="I28" s="616"/>
      <c r="J28" s="723"/>
      <c r="K28" s="723"/>
      <c r="L28" s="616" t="s">
        <v>889</v>
      </c>
      <c r="M28" s="616">
        <v>9</v>
      </c>
      <c r="N28" s="616">
        <v>40.5</v>
      </c>
      <c r="O28" s="616">
        <v>45.5625</v>
      </c>
      <c r="P28" s="616">
        <v>0</v>
      </c>
      <c r="Q28" s="616">
        <v>0</v>
      </c>
      <c r="R28" s="616">
        <v>0</v>
      </c>
      <c r="S28" s="616">
        <v>0</v>
      </c>
      <c r="T28" s="616">
        <v>0</v>
      </c>
      <c r="U28" s="616">
        <v>101.25</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9</v>
      </c>
      <c r="N29" s="574">
        <f>SUM(N28:N28)</f>
        <v>40.5</v>
      </c>
      <c r="O29" s="574">
        <f>SUM(O28:O28)</f>
        <v>45.5625</v>
      </c>
      <c r="P29" s="574">
        <f>SUM(P28:P28)</f>
        <v>0</v>
      </c>
      <c r="Q29" s="574">
        <f>SUM(Q28:Q28)</f>
        <v>0</v>
      </c>
      <c r="R29" s="574">
        <f>SUM(R28:R28)</f>
        <v>0</v>
      </c>
      <c r="S29" s="574">
        <f>SUM(S28:S28)</f>
        <v>0</v>
      </c>
      <c r="T29" s="574">
        <f>SUM(T28:T28)</f>
        <v>0</v>
      </c>
      <c r="U29" s="574">
        <f>SUM(U28:U28)</f>
        <v>101.25</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9</v>
      </c>
      <c r="N31" s="574">
        <f ca="1">SUMIF($AA$28:AE28,"tertiair",N28:N28)</f>
        <v>40.5</v>
      </c>
      <c r="O31" s="574">
        <f ca="1">SUMIF($AA$28:AF28,"tertiair",O28:O28)</f>
        <v>45.5625</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101.25</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47.647058823529413</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53.602941176470587</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11536.321297289998</v>
      </c>
      <c r="D10" s="930">
        <f ca="1">tertiair!C16</f>
        <v>45.5625</v>
      </c>
      <c r="E10" s="930">
        <f ca="1">tertiair!D16</f>
        <v>10333.422909739598</v>
      </c>
      <c r="F10" s="930">
        <f>tertiair!E16</f>
        <v>172.31496797058892</v>
      </c>
      <c r="G10" s="930">
        <f ca="1">tertiair!F16</f>
        <v>2220.39482924197</v>
      </c>
      <c r="H10" s="930">
        <f>tertiair!G16</f>
        <v>0</v>
      </c>
      <c r="I10" s="930">
        <f>tertiair!H16</f>
        <v>0</v>
      </c>
      <c r="J10" s="930">
        <f>tertiair!I16</f>
        <v>0</v>
      </c>
      <c r="K10" s="930">
        <f>tertiair!J16</f>
        <v>1.6981557161224941E-2</v>
      </c>
      <c r="L10" s="930">
        <f>tertiair!K16</f>
        <v>0</v>
      </c>
      <c r="M10" s="930">
        <f ca="1">tertiair!L16</f>
        <v>0</v>
      </c>
      <c r="N10" s="930">
        <f>tertiair!M16</f>
        <v>0</v>
      </c>
      <c r="O10" s="930">
        <f ca="1">tertiair!N16</f>
        <v>602.39193715153567</v>
      </c>
      <c r="P10" s="930">
        <f>tertiair!O16</f>
        <v>4.6900000000000004</v>
      </c>
      <c r="Q10" s="931">
        <f>tertiair!P16</f>
        <v>38.133333333333333</v>
      </c>
      <c r="R10" s="628">
        <f ca="1">SUM(C10:Q10)</f>
        <v>24953.248756284185</v>
      </c>
      <c r="S10" s="67"/>
    </row>
    <row r="11" spans="1:19" s="437" customFormat="1">
      <c r="A11" s="736" t="s">
        <v>214</v>
      </c>
      <c r="B11" s="741"/>
      <c r="C11" s="930">
        <f>huishoudens!B8</f>
        <v>30345.439938852851</v>
      </c>
      <c r="D11" s="930">
        <f>huishoudens!C8</f>
        <v>0</v>
      </c>
      <c r="E11" s="930">
        <f>huishoudens!D8</f>
        <v>44015.777399486375</v>
      </c>
      <c r="F11" s="930">
        <f>huishoudens!E8</f>
        <v>1671.800192600869</v>
      </c>
      <c r="G11" s="930">
        <f>huishoudens!F8</f>
        <v>45452.93812292401</v>
      </c>
      <c r="H11" s="930">
        <f>huishoudens!G8</f>
        <v>0</v>
      </c>
      <c r="I11" s="930">
        <f>huishoudens!H8</f>
        <v>0</v>
      </c>
      <c r="J11" s="930">
        <f>huishoudens!I8</f>
        <v>0</v>
      </c>
      <c r="K11" s="930">
        <f>huishoudens!J8</f>
        <v>838.23336360333951</v>
      </c>
      <c r="L11" s="930">
        <f>huishoudens!K8</f>
        <v>0</v>
      </c>
      <c r="M11" s="930">
        <f>huishoudens!L8</f>
        <v>0</v>
      </c>
      <c r="N11" s="930">
        <f>huishoudens!M8</f>
        <v>0</v>
      </c>
      <c r="O11" s="930">
        <f>huishoudens!N8</f>
        <v>8455.3800316913785</v>
      </c>
      <c r="P11" s="930">
        <f>huishoudens!O8</f>
        <v>176.65666666666667</v>
      </c>
      <c r="Q11" s="931">
        <f>huishoudens!P8</f>
        <v>648.26666666666665</v>
      </c>
      <c r="R11" s="628">
        <f>SUM(C11:Q11)</f>
        <v>131604.49238249217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2889.9520967689996</v>
      </c>
      <c r="D13" s="930">
        <f>industrie!C18</f>
        <v>0</v>
      </c>
      <c r="E13" s="930">
        <f>industrie!D18</f>
        <v>10761.77378582966</v>
      </c>
      <c r="F13" s="930">
        <f>industrie!E18</f>
        <v>334.79596605323002</v>
      </c>
      <c r="G13" s="930">
        <f>industrie!F18</f>
        <v>1253.7197075051922</v>
      </c>
      <c r="H13" s="930">
        <f>industrie!G18</f>
        <v>0</v>
      </c>
      <c r="I13" s="930">
        <f>industrie!H18</f>
        <v>0</v>
      </c>
      <c r="J13" s="930">
        <f>industrie!I18</f>
        <v>0</v>
      </c>
      <c r="K13" s="930">
        <f>industrie!J18</f>
        <v>11.951923834147333</v>
      </c>
      <c r="L13" s="930">
        <f>industrie!K18</f>
        <v>0</v>
      </c>
      <c r="M13" s="930">
        <f>industrie!L18</f>
        <v>0</v>
      </c>
      <c r="N13" s="930">
        <f>industrie!M18</f>
        <v>0</v>
      </c>
      <c r="O13" s="930">
        <f>industrie!N18</f>
        <v>264.68038790249233</v>
      </c>
      <c r="P13" s="930">
        <f>industrie!O18</f>
        <v>0</v>
      </c>
      <c r="Q13" s="931">
        <f>industrie!P18</f>
        <v>0</v>
      </c>
      <c r="R13" s="628">
        <f>SUM(C13:Q13)</f>
        <v>15516.873867893722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44771.713332911844</v>
      </c>
      <c r="D16" s="660">
        <f t="shared" ref="D16:R16" ca="1" si="0">SUM(D9:D15)</f>
        <v>45.5625</v>
      </c>
      <c r="E16" s="660">
        <f t="shared" ca="1" si="0"/>
        <v>65110.97409505563</v>
      </c>
      <c r="F16" s="660">
        <f t="shared" si="0"/>
        <v>2178.9111266246878</v>
      </c>
      <c r="G16" s="660">
        <f t="shared" ca="1" si="0"/>
        <v>48927.052659671172</v>
      </c>
      <c r="H16" s="660">
        <f t="shared" si="0"/>
        <v>0</v>
      </c>
      <c r="I16" s="660">
        <f t="shared" si="0"/>
        <v>0</v>
      </c>
      <c r="J16" s="660">
        <f t="shared" si="0"/>
        <v>0</v>
      </c>
      <c r="K16" s="660">
        <f t="shared" si="0"/>
        <v>850.20226899464808</v>
      </c>
      <c r="L16" s="660">
        <f t="shared" si="0"/>
        <v>0</v>
      </c>
      <c r="M16" s="660">
        <f t="shared" ca="1" si="0"/>
        <v>0</v>
      </c>
      <c r="N16" s="660">
        <f t="shared" si="0"/>
        <v>0</v>
      </c>
      <c r="O16" s="660">
        <f t="shared" ca="1" si="0"/>
        <v>9322.4523567454053</v>
      </c>
      <c r="P16" s="660">
        <f t="shared" si="0"/>
        <v>181.34666666666666</v>
      </c>
      <c r="Q16" s="660">
        <f t="shared" si="0"/>
        <v>686.4</v>
      </c>
      <c r="R16" s="660">
        <f t="shared" ca="1" si="0"/>
        <v>172074.61500667006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4.6624731958618737</v>
      </c>
      <c r="D19" s="930">
        <f>transport!C54</f>
        <v>0</v>
      </c>
      <c r="E19" s="930">
        <f>transport!D54</f>
        <v>0</v>
      </c>
      <c r="F19" s="930">
        <f>transport!E54</f>
        <v>0</v>
      </c>
      <c r="G19" s="930">
        <f>transport!F54</f>
        <v>0</v>
      </c>
      <c r="H19" s="930">
        <f>transport!G54</f>
        <v>831.32884189640129</v>
      </c>
      <c r="I19" s="930">
        <f>transport!H54</f>
        <v>0</v>
      </c>
      <c r="J19" s="930">
        <f>transport!I54</f>
        <v>0</v>
      </c>
      <c r="K19" s="930">
        <f>transport!J54</f>
        <v>0</v>
      </c>
      <c r="L19" s="930">
        <f>transport!K54</f>
        <v>0</v>
      </c>
      <c r="M19" s="930">
        <f>transport!L54</f>
        <v>0</v>
      </c>
      <c r="N19" s="930">
        <f>transport!M54</f>
        <v>25.95086534903599</v>
      </c>
      <c r="O19" s="930">
        <f>transport!N54</f>
        <v>0</v>
      </c>
      <c r="P19" s="930">
        <f>transport!O54</f>
        <v>0</v>
      </c>
      <c r="Q19" s="931">
        <f>transport!P54</f>
        <v>0</v>
      </c>
      <c r="R19" s="628">
        <f>SUM(C19:Q19)</f>
        <v>861.94218044129912</v>
      </c>
      <c r="S19" s="67"/>
    </row>
    <row r="20" spans="1:19" s="437" customFormat="1">
      <c r="A20" s="736" t="s">
        <v>296</v>
      </c>
      <c r="B20" s="741"/>
      <c r="C20" s="930">
        <f>transport!B14</f>
        <v>15.638777289423709</v>
      </c>
      <c r="D20" s="930">
        <f>transport!C14</f>
        <v>0</v>
      </c>
      <c r="E20" s="930">
        <f>transport!D14</f>
        <v>27.983653352990391</v>
      </c>
      <c r="F20" s="930">
        <f>transport!E14</f>
        <v>124.88262973540384</v>
      </c>
      <c r="G20" s="930">
        <f>transport!F14</f>
        <v>0</v>
      </c>
      <c r="H20" s="930">
        <f>transport!G14</f>
        <v>48538.536369288835</v>
      </c>
      <c r="I20" s="930">
        <f>transport!H14</f>
        <v>9598.2676797359782</v>
      </c>
      <c r="J20" s="930">
        <f>transport!I14</f>
        <v>0</v>
      </c>
      <c r="K20" s="930">
        <f>transport!J14</f>
        <v>0</v>
      </c>
      <c r="L20" s="930">
        <f>transport!K14</f>
        <v>0</v>
      </c>
      <c r="M20" s="930">
        <f>transport!L14</f>
        <v>0</v>
      </c>
      <c r="N20" s="930">
        <f>transport!M14</f>
        <v>1814.6799331510485</v>
      </c>
      <c r="O20" s="930">
        <f>transport!N14</f>
        <v>0</v>
      </c>
      <c r="P20" s="930">
        <f>transport!O14</f>
        <v>0</v>
      </c>
      <c r="Q20" s="931">
        <f>transport!P14</f>
        <v>0</v>
      </c>
      <c r="R20" s="628">
        <f>SUM(C20:Q20)</f>
        <v>60119.98904255368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20.301250485285582</v>
      </c>
      <c r="D22" s="739">
        <f t="shared" ref="D22:R22" si="1">SUM(D18:D21)</f>
        <v>0</v>
      </c>
      <c r="E22" s="739">
        <f t="shared" si="1"/>
        <v>27.983653352990391</v>
      </c>
      <c r="F22" s="739">
        <f t="shared" si="1"/>
        <v>124.88262973540384</v>
      </c>
      <c r="G22" s="739">
        <f t="shared" si="1"/>
        <v>0</v>
      </c>
      <c r="H22" s="739">
        <f t="shared" si="1"/>
        <v>49369.865211185235</v>
      </c>
      <c r="I22" s="739">
        <f t="shared" si="1"/>
        <v>9598.2676797359782</v>
      </c>
      <c r="J22" s="739">
        <f t="shared" si="1"/>
        <v>0</v>
      </c>
      <c r="K22" s="739">
        <f t="shared" si="1"/>
        <v>0</v>
      </c>
      <c r="L22" s="739">
        <f t="shared" si="1"/>
        <v>0</v>
      </c>
      <c r="M22" s="739">
        <f t="shared" si="1"/>
        <v>0</v>
      </c>
      <c r="N22" s="739">
        <f t="shared" si="1"/>
        <v>1840.6307985000844</v>
      </c>
      <c r="O22" s="739">
        <f t="shared" si="1"/>
        <v>0</v>
      </c>
      <c r="P22" s="739">
        <f t="shared" si="1"/>
        <v>0</v>
      </c>
      <c r="Q22" s="739">
        <f t="shared" si="1"/>
        <v>0</v>
      </c>
      <c r="R22" s="739">
        <f t="shared" si="1"/>
        <v>60981.931222994979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883.33065053599989</v>
      </c>
      <c r="D24" s="930">
        <f>+landbouw!C8</f>
        <v>0</v>
      </c>
      <c r="E24" s="930">
        <f>+landbouw!D8</f>
        <v>822.3195587910601</v>
      </c>
      <c r="F24" s="930">
        <f>+landbouw!E8</f>
        <v>17.499539857964074</v>
      </c>
      <c r="G24" s="930">
        <f>+landbouw!F8</f>
        <v>3221.2577464068268</v>
      </c>
      <c r="H24" s="930">
        <f>+landbouw!G8</f>
        <v>0</v>
      </c>
      <c r="I24" s="930">
        <f>+landbouw!H8</f>
        <v>0</v>
      </c>
      <c r="J24" s="930">
        <f>+landbouw!I8</f>
        <v>0</v>
      </c>
      <c r="K24" s="930">
        <f>+landbouw!J8</f>
        <v>209.73828502419343</v>
      </c>
      <c r="L24" s="930">
        <f>+landbouw!K8</f>
        <v>0</v>
      </c>
      <c r="M24" s="930">
        <f>+landbouw!L8</f>
        <v>0</v>
      </c>
      <c r="N24" s="930">
        <f>+landbouw!M8</f>
        <v>0</v>
      </c>
      <c r="O24" s="930">
        <f>+landbouw!N8</f>
        <v>0</v>
      </c>
      <c r="P24" s="930">
        <f>+landbouw!O8</f>
        <v>0</v>
      </c>
      <c r="Q24" s="931">
        <f>+landbouw!P8</f>
        <v>0</v>
      </c>
      <c r="R24" s="628">
        <f>SUM(C24:Q24)</f>
        <v>5154.1457806160452</v>
      </c>
      <c r="S24" s="67"/>
    </row>
    <row r="25" spans="1:19" s="437" customFormat="1" ht="15" thickBot="1">
      <c r="A25" s="758" t="s">
        <v>788</v>
      </c>
      <c r="B25" s="933"/>
      <c r="C25" s="934">
        <f>IF(Onbekend_ele_kWh="---",0,Onbekend_ele_kWh)/1000+IF(REST_rest_ele_kWh="---",0,REST_rest_ele_kWh)/1000</f>
        <v>1814.1431038999999</v>
      </c>
      <c r="D25" s="934"/>
      <c r="E25" s="934">
        <f>IF(onbekend_gas_kWh="---",0,onbekend_gas_kWh)/1000+IF(REST_rest_gas_kWh="---",0,REST_rest_gas_kWh)/1000</f>
        <v>1039.1582572</v>
      </c>
      <c r="F25" s="934"/>
      <c r="G25" s="934"/>
      <c r="H25" s="934"/>
      <c r="I25" s="934"/>
      <c r="J25" s="934"/>
      <c r="K25" s="934"/>
      <c r="L25" s="934"/>
      <c r="M25" s="934"/>
      <c r="N25" s="934"/>
      <c r="O25" s="934"/>
      <c r="P25" s="934"/>
      <c r="Q25" s="935"/>
      <c r="R25" s="628">
        <f>SUM(C25:Q25)</f>
        <v>2853.3013610999997</v>
      </c>
      <c r="S25" s="67"/>
    </row>
    <row r="26" spans="1:19" s="437" customFormat="1" ht="15.75" thickBot="1">
      <c r="A26" s="633" t="s">
        <v>789</v>
      </c>
      <c r="B26" s="744"/>
      <c r="C26" s="739">
        <f>SUM(C24:C25)</f>
        <v>2697.4737544359996</v>
      </c>
      <c r="D26" s="739">
        <f t="shared" ref="D26:R26" si="2">SUM(D24:D25)</f>
        <v>0</v>
      </c>
      <c r="E26" s="739">
        <f t="shared" si="2"/>
        <v>1861.4778159910602</v>
      </c>
      <c r="F26" s="739">
        <f t="shared" si="2"/>
        <v>17.499539857964074</v>
      </c>
      <c r="G26" s="739">
        <f t="shared" si="2"/>
        <v>3221.2577464068268</v>
      </c>
      <c r="H26" s="739">
        <f t="shared" si="2"/>
        <v>0</v>
      </c>
      <c r="I26" s="739">
        <f t="shared" si="2"/>
        <v>0</v>
      </c>
      <c r="J26" s="739">
        <f t="shared" si="2"/>
        <v>0</v>
      </c>
      <c r="K26" s="739">
        <f t="shared" si="2"/>
        <v>209.73828502419343</v>
      </c>
      <c r="L26" s="739">
        <f t="shared" si="2"/>
        <v>0</v>
      </c>
      <c r="M26" s="739">
        <f t="shared" si="2"/>
        <v>0</v>
      </c>
      <c r="N26" s="739">
        <f t="shared" si="2"/>
        <v>0</v>
      </c>
      <c r="O26" s="739">
        <f t="shared" si="2"/>
        <v>0</v>
      </c>
      <c r="P26" s="739">
        <f t="shared" si="2"/>
        <v>0</v>
      </c>
      <c r="Q26" s="739">
        <f t="shared" si="2"/>
        <v>0</v>
      </c>
      <c r="R26" s="739">
        <f t="shared" si="2"/>
        <v>8007.4471417160448</v>
      </c>
      <c r="S26" s="67"/>
    </row>
    <row r="27" spans="1:19" s="437" customFormat="1" ht="17.25" thickTop="1" thickBot="1">
      <c r="A27" s="634" t="s">
        <v>109</v>
      </c>
      <c r="B27" s="732"/>
      <c r="C27" s="635">
        <f ca="1">C22+C16+C26</f>
        <v>47489.488337833129</v>
      </c>
      <c r="D27" s="635">
        <f t="shared" ref="D27:R27" ca="1" si="3">D22+D16+D26</f>
        <v>45.5625</v>
      </c>
      <c r="E27" s="635">
        <f t="shared" ca="1" si="3"/>
        <v>67000.435564399682</v>
      </c>
      <c r="F27" s="635">
        <f t="shared" si="3"/>
        <v>2321.2932962180557</v>
      </c>
      <c r="G27" s="635">
        <f t="shared" ca="1" si="3"/>
        <v>52148.310406077995</v>
      </c>
      <c r="H27" s="635">
        <f t="shared" si="3"/>
        <v>49369.865211185235</v>
      </c>
      <c r="I27" s="635">
        <f t="shared" si="3"/>
        <v>9598.2676797359782</v>
      </c>
      <c r="J27" s="635">
        <f t="shared" si="3"/>
        <v>0</v>
      </c>
      <c r="K27" s="635">
        <f t="shared" si="3"/>
        <v>1059.9405540188416</v>
      </c>
      <c r="L27" s="635">
        <f t="shared" si="3"/>
        <v>0</v>
      </c>
      <c r="M27" s="635">
        <f t="shared" ca="1" si="3"/>
        <v>0</v>
      </c>
      <c r="N27" s="635">
        <f t="shared" si="3"/>
        <v>1840.6307985000844</v>
      </c>
      <c r="O27" s="635">
        <f t="shared" ca="1" si="3"/>
        <v>9322.4523567454053</v>
      </c>
      <c r="P27" s="635">
        <f t="shared" si="3"/>
        <v>181.34666666666666</v>
      </c>
      <c r="Q27" s="635">
        <f t="shared" si="3"/>
        <v>686.4</v>
      </c>
      <c r="R27" s="635">
        <f t="shared" ca="1" si="3"/>
        <v>241063.9933713811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1315.2832344113212</v>
      </c>
      <c r="D40" s="930">
        <f ca="1">tertiair!C20</f>
        <v>0</v>
      </c>
      <c r="E40" s="930">
        <f ca="1">tertiair!D20</f>
        <v>2087.3514277673989</v>
      </c>
      <c r="F40" s="930">
        <f>tertiair!E20</f>
        <v>39.115497729323685</v>
      </c>
      <c r="G40" s="930">
        <f ca="1">tertiair!F20</f>
        <v>592.84541940760607</v>
      </c>
      <c r="H40" s="930">
        <f>tertiair!G20</f>
        <v>0</v>
      </c>
      <c r="I40" s="930">
        <f>tertiair!H20</f>
        <v>0</v>
      </c>
      <c r="J40" s="930">
        <f>tertiair!I20</f>
        <v>0</v>
      </c>
      <c r="K40" s="930">
        <f>tertiair!J20</f>
        <v>6.011471235073629E-3</v>
      </c>
      <c r="L40" s="930">
        <f>tertiair!K20</f>
        <v>0</v>
      </c>
      <c r="M40" s="930">
        <f ca="1">tertiair!L20</f>
        <v>0</v>
      </c>
      <c r="N40" s="930">
        <f>tertiair!M20</f>
        <v>0</v>
      </c>
      <c r="O40" s="930">
        <f ca="1">tertiair!N20</f>
        <v>0</v>
      </c>
      <c r="P40" s="930">
        <f>tertiair!O20</f>
        <v>0</v>
      </c>
      <c r="Q40" s="702">
        <f>tertiair!P20</f>
        <v>0</v>
      </c>
      <c r="R40" s="777">
        <f t="shared" ca="1" si="4"/>
        <v>4034.601590786885</v>
      </c>
    </row>
    <row r="41" spans="1:18">
      <c r="A41" s="749" t="s">
        <v>214</v>
      </c>
      <c r="B41" s="756"/>
      <c r="C41" s="930">
        <f ca="1">huishoudens!B12</f>
        <v>3459.7552689335034</v>
      </c>
      <c r="D41" s="930">
        <f ca="1">huishoudens!C12</f>
        <v>0</v>
      </c>
      <c r="E41" s="930">
        <f>huishoudens!D12</f>
        <v>8891.1870346962478</v>
      </c>
      <c r="F41" s="930">
        <f>huishoudens!E12</f>
        <v>379.49864372039724</v>
      </c>
      <c r="G41" s="930">
        <f>huishoudens!F12</f>
        <v>12135.934478820711</v>
      </c>
      <c r="H41" s="930">
        <f>huishoudens!G12</f>
        <v>0</v>
      </c>
      <c r="I41" s="930">
        <f>huishoudens!H12</f>
        <v>0</v>
      </c>
      <c r="J41" s="930">
        <f>huishoudens!I12</f>
        <v>0</v>
      </c>
      <c r="K41" s="930">
        <f>huishoudens!J12</f>
        <v>296.73461071558216</v>
      </c>
      <c r="L41" s="930">
        <f>huishoudens!K12</f>
        <v>0</v>
      </c>
      <c r="M41" s="930">
        <f>huishoudens!L12</f>
        <v>0</v>
      </c>
      <c r="N41" s="930">
        <f>huishoudens!M12</f>
        <v>0</v>
      </c>
      <c r="O41" s="930">
        <f>huishoudens!N12</f>
        <v>0</v>
      </c>
      <c r="P41" s="930">
        <f>huishoudens!O12</f>
        <v>0</v>
      </c>
      <c r="Q41" s="702">
        <f>huishoudens!P12</f>
        <v>0</v>
      </c>
      <c r="R41" s="777">
        <f t="shared" ca="1" si="4"/>
        <v>25163.110036886443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329.49026324579125</v>
      </c>
      <c r="D43" s="930">
        <f ca="1">industrie!C22</f>
        <v>0</v>
      </c>
      <c r="E43" s="930">
        <f>industrie!D22</f>
        <v>2173.8783047375914</v>
      </c>
      <c r="F43" s="930">
        <f>industrie!E22</f>
        <v>75.998684294083219</v>
      </c>
      <c r="G43" s="930">
        <f>industrie!F22</f>
        <v>334.74316190388635</v>
      </c>
      <c r="H43" s="930">
        <f>industrie!G22</f>
        <v>0</v>
      </c>
      <c r="I43" s="930">
        <f>industrie!H22</f>
        <v>0</v>
      </c>
      <c r="J43" s="930">
        <f>industrie!I22</f>
        <v>0</v>
      </c>
      <c r="K43" s="930">
        <f>industrie!J22</f>
        <v>4.2309810372881556</v>
      </c>
      <c r="L43" s="930">
        <f>industrie!K22</f>
        <v>0</v>
      </c>
      <c r="M43" s="930">
        <f>industrie!L22</f>
        <v>0</v>
      </c>
      <c r="N43" s="930">
        <f>industrie!M22</f>
        <v>0</v>
      </c>
      <c r="O43" s="930">
        <f>industrie!N22</f>
        <v>0</v>
      </c>
      <c r="P43" s="930">
        <f>industrie!O22</f>
        <v>0</v>
      </c>
      <c r="Q43" s="702">
        <f>industrie!P22</f>
        <v>0</v>
      </c>
      <c r="R43" s="776">
        <f t="shared" ca="1" si="4"/>
        <v>2918.3413952186402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5104.5287665906162</v>
      </c>
      <c r="D46" s="660">
        <f t="shared" ref="D46:Q46" ca="1" si="5">SUM(D39:D45)</f>
        <v>0</v>
      </c>
      <c r="E46" s="660">
        <f t="shared" ca="1" si="5"/>
        <v>13152.416767201237</v>
      </c>
      <c r="F46" s="660">
        <f t="shared" si="5"/>
        <v>494.61282574380414</v>
      </c>
      <c r="G46" s="660">
        <f t="shared" ca="1" si="5"/>
        <v>13063.523060132204</v>
      </c>
      <c r="H46" s="660">
        <f t="shared" si="5"/>
        <v>0</v>
      </c>
      <c r="I46" s="660">
        <f t="shared" si="5"/>
        <v>0</v>
      </c>
      <c r="J46" s="660">
        <f t="shared" si="5"/>
        <v>0</v>
      </c>
      <c r="K46" s="660">
        <f t="shared" si="5"/>
        <v>300.97160322410537</v>
      </c>
      <c r="L46" s="660">
        <f t="shared" si="5"/>
        <v>0</v>
      </c>
      <c r="M46" s="660">
        <f t="shared" ca="1" si="5"/>
        <v>0</v>
      </c>
      <c r="N46" s="660">
        <f t="shared" si="5"/>
        <v>0</v>
      </c>
      <c r="O46" s="660">
        <f t="shared" ca="1" si="5"/>
        <v>0</v>
      </c>
      <c r="P46" s="660">
        <f t="shared" si="5"/>
        <v>0</v>
      </c>
      <c r="Q46" s="660">
        <f t="shared" si="5"/>
        <v>0</v>
      </c>
      <c r="R46" s="660">
        <f ca="1">SUM(R39:R45)</f>
        <v>32116.053022891967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0.53157957960566482</v>
      </c>
      <c r="D49" s="930">
        <f ca="1">transport!C58</f>
        <v>0</v>
      </c>
      <c r="E49" s="930">
        <f>transport!D58</f>
        <v>0</v>
      </c>
      <c r="F49" s="930">
        <f>transport!E58</f>
        <v>0</v>
      </c>
      <c r="G49" s="930">
        <f>transport!F58</f>
        <v>0</v>
      </c>
      <c r="H49" s="930">
        <f>transport!G58</f>
        <v>221.96480078633917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222.49638036594484</v>
      </c>
    </row>
    <row r="50" spans="1:18">
      <c r="A50" s="752" t="s">
        <v>296</v>
      </c>
      <c r="B50" s="762"/>
      <c r="C50" s="631">
        <f ca="1">transport!B18</f>
        <v>1.7830139301254986</v>
      </c>
      <c r="D50" s="631">
        <f>transport!C18</f>
        <v>0</v>
      </c>
      <c r="E50" s="631">
        <f>transport!D18</f>
        <v>5.6526979773040598</v>
      </c>
      <c r="F50" s="631">
        <f>transport!E18</f>
        <v>28.348356949936672</v>
      </c>
      <c r="G50" s="631">
        <f>transport!F18</f>
        <v>0</v>
      </c>
      <c r="H50" s="631">
        <f>transport!G18</f>
        <v>12959.78921060012</v>
      </c>
      <c r="I50" s="631">
        <f>transport!H18</f>
        <v>2389.9686522542584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15385.541931711745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2.3145935097311634</v>
      </c>
      <c r="D52" s="660">
        <f t="shared" ref="D52:Q52" ca="1" si="6">SUM(D48:D51)</f>
        <v>0</v>
      </c>
      <c r="E52" s="660">
        <f t="shared" si="6"/>
        <v>5.6526979773040598</v>
      </c>
      <c r="F52" s="660">
        <f t="shared" si="6"/>
        <v>28.348356949936672</v>
      </c>
      <c r="G52" s="660">
        <f t="shared" si="6"/>
        <v>0</v>
      </c>
      <c r="H52" s="660">
        <f t="shared" si="6"/>
        <v>13181.75401138646</v>
      </c>
      <c r="I52" s="660">
        <f t="shared" si="6"/>
        <v>2389.9686522542584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15608.03831207769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100.71061347472806</v>
      </c>
      <c r="D54" s="631">
        <f ca="1">+landbouw!C12</f>
        <v>0</v>
      </c>
      <c r="E54" s="631">
        <f>+landbouw!D12</f>
        <v>166.10855087579415</v>
      </c>
      <c r="F54" s="631">
        <f>+landbouw!E12</f>
        <v>3.972395547757845</v>
      </c>
      <c r="G54" s="631">
        <f>+landbouw!F12</f>
        <v>860.07581829062281</v>
      </c>
      <c r="H54" s="631">
        <f>+landbouw!G12</f>
        <v>0</v>
      </c>
      <c r="I54" s="631">
        <f>+landbouw!H12</f>
        <v>0</v>
      </c>
      <c r="J54" s="631">
        <f>+landbouw!I12</f>
        <v>0</v>
      </c>
      <c r="K54" s="631">
        <f>+landbouw!J12</f>
        <v>74.247352898564472</v>
      </c>
      <c r="L54" s="631">
        <f>+landbouw!K12</f>
        <v>0</v>
      </c>
      <c r="M54" s="631">
        <f>+landbouw!L12</f>
        <v>0</v>
      </c>
      <c r="N54" s="631">
        <f>+landbouw!M12</f>
        <v>0</v>
      </c>
      <c r="O54" s="631">
        <f>+landbouw!N12</f>
        <v>0</v>
      </c>
      <c r="P54" s="631">
        <f>+landbouw!O12</f>
        <v>0</v>
      </c>
      <c r="Q54" s="632">
        <f>+landbouw!P12</f>
        <v>0</v>
      </c>
      <c r="R54" s="659">
        <f ca="1">SUM(C54:Q54)</f>
        <v>1205.1147310874674</v>
      </c>
    </row>
    <row r="55" spans="1:18" ht="15" thickBot="1">
      <c r="A55" s="752" t="s">
        <v>788</v>
      </c>
      <c r="B55" s="762"/>
      <c r="C55" s="631">
        <f ca="1">C25*'EF ele_warmte'!B12</f>
        <v>206.83473941932493</v>
      </c>
      <c r="D55" s="631"/>
      <c r="E55" s="631">
        <f>E25*EF_CO2_aardgas</f>
        <v>209.9099679544</v>
      </c>
      <c r="F55" s="631"/>
      <c r="G55" s="631"/>
      <c r="H55" s="631"/>
      <c r="I55" s="631"/>
      <c r="J55" s="631"/>
      <c r="K55" s="631"/>
      <c r="L55" s="631"/>
      <c r="M55" s="631"/>
      <c r="N55" s="631"/>
      <c r="O55" s="631"/>
      <c r="P55" s="631"/>
      <c r="Q55" s="632"/>
      <c r="R55" s="659">
        <f ca="1">SUM(C55:Q55)</f>
        <v>416.74470737372496</v>
      </c>
    </row>
    <row r="56" spans="1:18" ht="15.75" thickBot="1">
      <c r="A56" s="750" t="s">
        <v>789</v>
      </c>
      <c r="B56" s="763"/>
      <c r="C56" s="660">
        <f ca="1">SUM(C54:C55)</f>
        <v>307.545352894053</v>
      </c>
      <c r="D56" s="660">
        <f t="shared" ref="D56:Q56" ca="1" si="7">SUM(D54:D55)</f>
        <v>0</v>
      </c>
      <c r="E56" s="660">
        <f t="shared" si="7"/>
        <v>376.01851883019413</v>
      </c>
      <c r="F56" s="660">
        <f t="shared" si="7"/>
        <v>3.972395547757845</v>
      </c>
      <c r="G56" s="660">
        <f t="shared" si="7"/>
        <v>860.07581829062281</v>
      </c>
      <c r="H56" s="660">
        <f t="shared" si="7"/>
        <v>0</v>
      </c>
      <c r="I56" s="660">
        <f t="shared" si="7"/>
        <v>0</v>
      </c>
      <c r="J56" s="660">
        <f t="shared" si="7"/>
        <v>0</v>
      </c>
      <c r="K56" s="660">
        <f t="shared" si="7"/>
        <v>74.247352898564472</v>
      </c>
      <c r="L56" s="660">
        <f t="shared" si="7"/>
        <v>0</v>
      </c>
      <c r="M56" s="660">
        <f t="shared" si="7"/>
        <v>0</v>
      </c>
      <c r="N56" s="660">
        <f t="shared" si="7"/>
        <v>0</v>
      </c>
      <c r="O56" s="660">
        <f t="shared" si="7"/>
        <v>0</v>
      </c>
      <c r="P56" s="660">
        <f t="shared" si="7"/>
        <v>0</v>
      </c>
      <c r="Q56" s="661">
        <f t="shared" si="7"/>
        <v>0</v>
      </c>
      <c r="R56" s="662">
        <f ca="1">SUM(R54:R55)</f>
        <v>1621.8594384611924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5414.3887129944005</v>
      </c>
      <c r="D61" s="668">
        <f t="shared" ref="D61:Q61" ca="1" si="8">D46+D52+D56</f>
        <v>0</v>
      </c>
      <c r="E61" s="668">
        <f t="shared" ca="1" si="8"/>
        <v>13534.087984008736</v>
      </c>
      <c r="F61" s="668">
        <f t="shared" si="8"/>
        <v>526.93357824149871</v>
      </c>
      <c r="G61" s="668">
        <f t="shared" ca="1" si="8"/>
        <v>13923.598878422827</v>
      </c>
      <c r="H61" s="668">
        <f t="shared" si="8"/>
        <v>13181.75401138646</v>
      </c>
      <c r="I61" s="668">
        <f t="shared" si="8"/>
        <v>2389.9686522542584</v>
      </c>
      <c r="J61" s="668">
        <f t="shared" si="8"/>
        <v>0</v>
      </c>
      <c r="K61" s="668">
        <f t="shared" si="8"/>
        <v>375.21895612266985</v>
      </c>
      <c r="L61" s="668">
        <f t="shared" si="8"/>
        <v>0</v>
      </c>
      <c r="M61" s="668">
        <f t="shared" ca="1" si="8"/>
        <v>0</v>
      </c>
      <c r="N61" s="668">
        <f t="shared" si="8"/>
        <v>0</v>
      </c>
      <c r="O61" s="668">
        <f t="shared" ca="1" si="8"/>
        <v>0</v>
      </c>
      <c r="P61" s="668">
        <f t="shared" si="8"/>
        <v>0</v>
      </c>
      <c r="Q61" s="668">
        <f t="shared" si="8"/>
        <v>0</v>
      </c>
      <c r="R61" s="668">
        <f ca="1">R46+R52+R56</f>
        <v>49345.95077343085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0.11401236152466515</v>
      </c>
      <c r="D63" s="709">
        <f t="shared" ca="1" si="9"/>
        <v>0</v>
      </c>
      <c r="E63" s="941">
        <f t="shared" ca="1" si="9"/>
        <v>0.20200000000000001</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19843.327069001127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3106.164829943315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40.5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47.647058823529413</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22989.991898944441</v>
      </c>
      <c r="C78" s="683">
        <f>SUM(C72:C77)</f>
        <v>0</v>
      </c>
      <c r="D78" s="684">
        <f t="shared" ref="D78:H78" si="10">SUM(D76:D77)</f>
        <v>0</v>
      </c>
      <c r="E78" s="684">
        <f t="shared" si="10"/>
        <v>0</v>
      </c>
      <c r="F78" s="684">
        <f t="shared" si="10"/>
        <v>0</v>
      </c>
      <c r="G78" s="684">
        <f t="shared" si="10"/>
        <v>0</v>
      </c>
      <c r="H78" s="684">
        <f t="shared" si="10"/>
        <v>0</v>
      </c>
      <c r="I78" s="684">
        <f>SUM(I76:I77)</f>
        <v>47.647058823529413</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45.5625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53.602941176470587</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45.5625</v>
      </c>
      <c r="C90" s="683">
        <f>SUM(C87:C89)</f>
        <v>0</v>
      </c>
      <c r="D90" s="683">
        <f t="shared" ref="D90:H90" si="12">SUM(D87:D89)</f>
        <v>0</v>
      </c>
      <c r="E90" s="683">
        <f t="shared" si="12"/>
        <v>0</v>
      </c>
      <c r="F90" s="683">
        <f t="shared" si="12"/>
        <v>0</v>
      </c>
      <c r="G90" s="683">
        <f t="shared" si="12"/>
        <v>0</v>
      </c>
      <c r="H90" s="683">
        <f t="shared" si="12"/>
        <v>0</v>
      </c>
      <c r="I90" s="683">
        <f>SUM(I87:I89)</f>
        <v>53.602941176470587</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30345.439938852851</v>
      </c>
      <c r="C4" s="441">
        <f>huishoudens!C8</f>
        <v>0</v>
      </c>
      <c r="D4" s="441">
        <f>huishoudens!D8</f>
        <v>44015.777399486375</v>
      </c>
      <c r="E4" s="441">
        <f>huishoudens!E8</f>
        <v>1671.800192600869</v>
      </c>
      <c r="F4" s="441">
        <f>huishoudens!F8</f>
        <v>45452.93812292401</v>
      </c>
      <c r="G4" s="441">
        <f>huishoudens!G8</f>
        <v>0</v>
      </c>
      <c r="H4" s="441">
        <f>huishoudens!H8</f>
        <v>0</v>
      </c>
      <c r="I4" s="441">
        <f>huishoudens!I8</f>
        <v>0</v>
      </c>
      <c r="J4" s="441">
        <f>huishoudens!J8</f>
        <v>838.23336360333951</v>
      </c>
      <c r="K4" s="441">
        <f>huishoudens!K8</f>
        <v>0</v>
      </c>
      <c r="L4" s="441">
        <f>huishoudens!L8</f>
        <v>0</v>
      </c>
      <c r="M4" s="441">
        <f>huishoudens!M8</f>
        <v>0</v>
      </c>
      <c r="N4" s="441">
        <f>huishoudens!N8</f>
        <v>8455.3800316913785</v>
      </c>
      <c r="O4" s="441">
        <f>huishoudens!O8</f>
        <v>176.65666666666667</v>
      </c>
      <c r="P4" s="442">
        <f>huishoudens!P8</f>
        <v>648.26666666666665</v>
      </c>
      <c r="Q4" s="443">
        <f>SUM(B4:P4)</f>
        <v>131604.49238249217</v>
      </c>
    </row>
    <row r="5" spans="1:17">
      <c r="A5" s="440" t="s">
        <v>149</v>
      </c>
      <c r="B5" s="441">
        <f ca="1">tertiair!B16</f>
        <v>10410.089297289998</v>
      </c>
      <c r="C5" s="441">
        <f ca="1">tertiair!C16</f>
        <v>45.5625</v>
      </c>
      <c r="D5" s="441">
        <f ca="1">tertiair!D16</f>
        <v>10333.422909739598</v>
      </c>
      <c r="E5" s="441">
        <f>tertiair!E16</f>
        <v>172.31496797058892</v>
      </c>
      <c r="F5" s="441">
        <f ca="1">tertiair!F16</f>
        <v>2220.39482924197</v>
      </c>
      <c r="G5" s="441">
        <f>tertiair!G16</f>
        <v>0</v>
      </c>
      <c r="H5" s="441">
        <f>tertiair!H16</f>
        <v>0</v>
      </c>
      <c r="I5" s="441">
        <f>tertiair!I16</f>
        <v>0</v>
      </c>
      <c r="J5" s="441">
        <f>tertiair!J16</f>
        <v>1.6981557161224941E-2</v>
      </c>
      <c r="K5" s="441">
        <f>tertiair!K16</f>
        <v>0</v>
      </c>
      <c r="L5" s="441">
        <f ca="1">tertiair!L16</f>
        <v>0</v>
      </c>
      <c r="M5" s="441">
        <f>tertiair!M16</f>
        <v>0</v>
      </c>
      <c r="N5" s="441">
        <f ca="1">tertiair!N16</f>
        <v>602.39193715153567</v>
      </c>
      <c r="O5" s="441">
        <f>tertiair!O16</f>
        <v>4.6900000000000004</v>
      </c>
      <c r="P5" s="442">
        <f>tertiair!P16</f>
        <v>38.133333333333333</v>
      </c>
      <c r="Q5" s="440">
        <f t="shared" ref="Q5:Q14" ca="1" si="0">SUM(B5:P5)</f>
        <v>23827.016756284189</v>
      </c>
    </row>
    <row r="6" spans="1:17">
      <c r="A6" s="440" t="s">
        <v>187</v>
      </c>
      <c r="B6" s="441">
        <f>'openbare verlichting'!B8</f>
        <v>1126.232</v>
      </c>
      <c r="C6" s="441"/>
      <c r="D6" s="441"/>
      <c r="E6" s="441"/>
      <c r="F6" s="441"/>
      <c r="G6" s="441"/>
      <c r="H6" s="441"/>
      <c r="I6" s="441"/>
      <c r="J6" s="441"/>
      <c r="K6" s="441"/>
      <c r="L6" s="441"/>
      <c r="M6" s="441"/>
      <c r="N6" s="441"/>
      <c r="O6" s="441"/>
      <c r="P6" s="442"/>
      <c r="Q6" s="440">
        <f t="shared" si="0"/>
        <v>1126.232</v>
      </c>
    </row>
    <row r="7" spans="1:17">
      <c r="A7" s="440" t="s">
        <v>105</v>
      </c>
      <c r="B7" s="441">
        <f>landbouw!B8</f>
        <v>883.33065053599989</v>
      </c>
      <c r="C7" s="441">
        <f>landbouw!C8</f>
        <v>0</v>
      </c>
      <c r="D7" s="441">
        <f>landbouw!D8</f>
        <v>822.3195587910601</v>
      </c>
      <c r="E7" s="441">
        <f>landbouw!E8</f>
        <v>17.499539857964074</v>
      </c>
      <c r="F7" s="441">
        <f>landbouw!F8</f>
        <v>3221.2577464068268</v>
      </c>
      <c r="G7" s="441">
        <f>landbouw!G8</f>
        <v>0</v>
      </c>
      <c r="H7" s="441">
        <f>landbouw!H8</f>
        <v>0</v>
      </c>
      <c r="I7" s="441">
        <f>landbouw!I8</f>
        <v>0</v>
      </c>
      <c r="J7" s="441">
        <f>landbouw!J8</f>
        <v>209.73828502419343</v>
      </c>
      <c r="K7" s="441">
        <f>landbouw!K8</f>
        <v>0</v>
      </c>
      <c r="L7" s="441">
        <f>landbouw!L8</f>
        <v>0</v>
      </c>
      <c r="M7" s="441">
        <f>landbouw!M8</f>
        <v>0</v>
      </c>
      <c r="N7" s="441">
        <f>landbouw!N8</f>
        <v>0</v>
      </c>
      <c r="O7" s="441">
        <f>landbouw!O8</f>
        <v>0</v>
      </c>
      <c r="P7" s="442">
        <f>landbouw!P8</f>
        <v>0</v>
      </c>
      <c r="Q7" s="440">
        <f t="shared" si="0"/>
        <v>5154.1457806160452</v>
      </c>
    </row>
    <row r="8" spans="1:17">
      <c r="A8" s="440" t="s">
        <v>600</v>
      </c>
      <c r="B8" s="441">
        <f>industrie!B18</f>
        <v>2889.9520967689996</v>
      </c>
      <c r="C8" s="441">
        <f>industrie!C18</f>
        <v>0</v>
      </c>
      <c r="D8" s="441">
        <f>industrie!D18</f>
        <v>10761.77378582966</v>
      </c>
      <c r="E8" s="441">
        <f>industrie!E18</f>
        <v>334.79596605323002</v>
      </c>
      <c r="F8" s="441">
        <f>industrie!F18</f>
        <v>1253.7197075051922</v>
      </c>
      <c r="G8" s="441">
        <f>industrie!G18</f>
        <v>0</v>
      </c>
      <c r="H8" s="441">
        <f>industrie!H18</f>
        <v>0</v>
      </c>
      <c r="I8" s="441">
        <f>industrie!I18</f>
        <v>0</v>
      </c>
      <c r="J8" s="441">
        <f>industrie!J18</f>
        <v>11.951923834147333</v>
      </c>
      <c r="K8" s="441">
        <f>industrie!K18</f>
        <v>0</v>
      </c>
      <c r="L8" s="441">
        <f>industrie!L18</f>
        <v>0</v>
      </c>
      <c r="M8" s="441">
        <f>industrie!M18</f>
        <v>0</v>
      </c>
      <c r="N8" s="441">
        <f>industrie!N18</f>
        <v>264.68038790249233</v>
      </c>
      <c r="O8" s="441">
        <f>industrie!O18</f>
        <v>0</v>
      </c>
      <c r="P8" s="442">
        <f>industrie!P18</f>
        <v>0</v>
      </c>
      <c r="Q8" s="440">
        <f t="shared" si="0"/>
        <v>15516.873867893722</v>
      </c>
    </row>
    <row r="9" spans="1:17" s="446" customFormat="1">
      <c r="A9" s="444" t="s">
        <v>549</v>
      </c>
      <c r="B9" s="445">
        <f>transport!B14</f>
        <v>15.638777289423709</v>
      </c>
      <c r="C9" s="445">
        <f>transport!C14</f>
        <v>0</v>
      </c>
      <c r="D9" s="445">
        <f>transport!D14</f>
        <v>27.983653352990391</v>
      </c>
      <c r="E9" s="445">
        <f>transport!E14</f>
        <v>124.88262973540384</v>
      </c>
      <c r="F9" s="445">
        <f>transport!F14</f>
        <v>0</v>
      </c>
      <c r="G9" s="445">
        <f>transport!G14</f>
        <v>48538.536369288835</v>
      </c>
      <c r="H9" s="445">
        <f>transport!H14</f>
        <v>9598.2676797359782</v>
      </c>
      <c r="I9" s="445">
        <f>transport!I14</f>
        <v>0</v>
      </c>
      <c r="J9" s="445">
        <f>transport!J14</f>
        <v>0</v>
      </c>
      <c r="K9" s="445">
        <f>transport!K14</f>
        <v>0</v>
      </c>
      <c r="L9" s="445">
        <f>transport!L14</f>
        <v>0</v>
      </c>
      <c r="M9" s="445">
        <f>transport!M14</f>
        <v>1814.6799331510485</v>
      </c>
      <c r="N9" s="445">
        <f>transport!N14</f>
        <v>0</v>
      </c>
      <c r="O9" s="445">
        <f>transport!O14</f>
        <v>0</v>
      </c>
      <c r="P9" s="445">
        <f>transport!P14</f>
        <v>0</v>
      </c>
      <c r="Q9" s="444">
        <f>SUM(B9:P9)</f>
        <v>60119.98904255368</v>
      </c>
    </row>
    <row r="10" spans="1:17">
      <c r="A10" s="440" t="s">
        <v>539</v>
      </c>
      <c r="B10" s="441">
        <f>transport!B54</f>
        <v>4.6624731958618737</v>
      </c>
      <c r="C10" s="441">
        <f>transport!C54</f>
        <v>0</v>
      </c>
      <c r="D10" s="441">
        <f>transport!D54</f>
        <v>0</v>
      </c>
      <c r="E10" s="441">
        <f>transport!E54</f>
        <v>0</v>
      </c>
      <c r="F10" s="441">
        <f>transport!F54</f>
        <v>0</v>
      </c>
      <c r="G10" s="441">
        <f>transport!G54</f>
        <v>831.32884189640129</v>
      </c>
      <c r="H10" s="441">
        <f>transport!H54</f>
        <v>0</v>
      </c>
      <c r="I10" s="441">
        <f>transport!I54</f>
        <v>0</v>
      </c>
      <c r="J10" s="441">
        <f>transport!J54</f>
        <v>0</v>
      </c>
      <c r="K10" s="441">
        <f>transport!K54</f>
        <v>0</v>
      </c>
      <c r="L10" s="441">
        <f>transport!L54</f>
        <v>0</v>
      </c>
      <c r="M10" s="441">
        <f>transport!M54</f>
        <v>25.95086534903599</v>
      </c>
      <c r="N10" s="441">
        <f>transport!N54</f>
        <v>0</v>
      </c>
      <c r="O10" s="441">
        <f>transport!O54</f>
        <v>0</v>
      </c>
      <c r="P10" s="442">
        <f>transport!P54</f>
        <v>0</v>
      </c>
      <c r="Q10" s="440">
        <f t="shared" si="0"/>
        <v>861.94218044129912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1814.1431038999999</v>
      </c>
      <c r="C14" s="448"/>
      <c r="D14" s="448">
        <f>'SEAP template'!E25</f>
        <v>1039.1582572</v>
      </c>
      <c r="E14" s="448"/>
      <c r="F14" s="448"/>
      <c r="G14" s="448"/>
      <c r="H14" s="448"/>
      <c r="I14" s="448"/>
      <c r="J14" s="448"/>
      <c r="K14" s="448"/>
      <c r="L14" s="448"/>
      <c r="M14" s="448"/>
      <c r="N14" s="448"/>
      <c r="O14" s="448"/>
      <c r="P14" s="449"/>
      <c r="Q14" s="440">
        <f t="shared" si="0"/>
        <v>2853.3013610999997</v>
      </c>
    </row>
    <row r="15" spans="1:17" s="450" customFormat="1">
      <c r="A15" s="956" t="s">
        <v>543</v>
      </c>
      <c r="B15" s="896">
        <f ca="1">SUM(B4:B14)</f>
        <v>47489.488337833136</v>
      </c>
      <c r="C15" s="896">
        <f t="shared" ref="C15:Q15" ca="1" si="1">SUM(C4:C14)</f>
        <v>45.5625</v>
      </c>
      <c r="D15" s="896">
        <f t="shared" ca="1" si="1"/>
        <v>67000.435564399682</v>
      </c>
      <c r="E15" s="896">
        <f t="shared" si="1"/>
        <v>2321.2932962180557</v>
      </c>
      <c r="F15" s="896">
        <f t="shared" ca="1" si="1"/>
        <v>52148.310406077995</v>
      </c>
      <c r="G15" s="896">
        <f t="shared" si="1"/>
        <v>49369.865211185235</v>
      </c>
      <c r="H15" s="896">
        <f t="shared" si="1"/>
        <v>9598.2676797359782</v>
      </c>
      <c r="I15" s="896">
        <f t="shared" si="1"/>
        <v>0</v>
      </c>
      <c r="J15" s="896">
        <f t="shared" si="1"/>
        <v>1059.9405540188413</v>
      </c>
      <c r="K15" s="896">
        <f t="shared" si="1"/>
        <v>0</v>
      </c>
      <c r="L15" s="896">
        <f t="shared" ca="1" si="1"/>
        <v>0</v>
      </c>
      <c r="M15" s="896">
        <f t="shared" si="1"/>
        <v>1840.6307985000844</v>
      </c>
      <c r="N15" s="896">
        <f t="shared" ca="1" si="1"/>
        <v>9322.4523567454053</v>
      </c>
      <c r="O15" s="896">
        <f t="shared" si="1"/>
        <v>181.34666666666666</v>
      </c>
      <c r="P15" s="896">
        <f t="shared" si="1"/>
        <v>686.4</v>
      </c>
      <c r="Q15" s="896">
        <f t="shared" ca="1" si="1"/>
        <v>241063.99337138105</v>
      </c>
    </row>
    <row r="17" spans="1:17">
      <c r="A17" s="451" t="s">
        <v>544</v>
      </c>
      <c r="B17" s="714">
        <f ca="1">huishoudens!B10</f>
        <v>0.11401236152466514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3459.7552689335034</v>
      </c>
      <c r="C22" s="441">
        <f t="shared" ref="C22:C32" ca="1" si="3">C4*$C$17</f>
        <v>0</v>
      </c>
      <c r="D22" s="441">
        <f t="shared" ref="D22:D32" si="4">D4*$D$17</f>
        <v>8891.1870346962478</v>
      </c>
      <c r="E22" s="441">
        <f t="shared" ref="E22:E32" si="5">E4*$E$17</f>
        <v>379.49864372039724</v>
      </c>
      <c r="F22" s="441">
        <f t="shared" ref="F22:F32" si="6">F4*$F$17</f>
        <v>12135.934478820711</v>
      </c>
      <c r="G22" s="441">
        <f t="shared" ref="G22:G32" si="7">G4*$G$17</f>
        <v>0</v>
      </c>
      <c r="H22" s="441">
        <f t="shared" ref="H22:H32" si="8">H4*$H$17</f>
        <v>0</v>
      </c>
      <c r="I22" s="441">
        <f t="shared" ref="I22:I32" si="9">I4*$I$17</f>
        <v>0</v>
      </c>
      <c r="J22" s="441">
        <f t="shared" ref="J22:J32" si="10">J4*$J$17</f>
        <v>296.73461071558216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25163.110036886443</v>
      </c>
    </row>
    <row r="23" spans="1:17">
      <c r="A23" s="440" t="s">
        <v>149</v>
      </c>
      <c r="B23" s="441">
        <f t="shared" ca="1" si="2"/>
        <v>1186.8788644666745</v>
      </c>
      <c r="C23" s="441">
        <f t="shared" ca="1" si="3"/>
        <v>0</v>
      </c>
      <c r="D23" s="441">
        <f t="shared" ca="1" si="4"/>
        <v>2087.3514277673989</v>
      </c>
      <c r="E23" s="441">
        <f t="shared" si="5"/>
        <v>39.115497729323685</v>
      </c>
      <c r="F23" s="441">
        <f t="shared" ca="1" si="6"/>
        <v>592.84541940760607</v>
      </c>
      <c r="G23" s="441">
        <f t="shared" si="7"/>
        <v>0</v>
      </c>
      <c r="H23" s="441">
        <f t="shared" si="8"/>
        <v>0</v>
      </c>
      <c r="I23" s="441">
        <f t="shared" si="9"/>
        <v>0</v>
      </c>
      <c r="J23" s="441">
        <f t="shared" si="10"/>
        <v>6.011471235073629E-3</v>
      </c>
      <c r="K23" s="441">
        <f t="shared" si="11"/>
        <v>0</v>
      </c>
      <c r="L23" s="441">
        <f t="shared" ca="1" si="12"/>
        <v>0</v>
      </c>
      <c r="M23" s="441">
        <f t="shared" si="13"/>
        <v>0</v>
      </c>
      <c r="N23" s="441">
        <f t="shared" ca="1" si="14"/>
        <v>0</v>
      </c>
      <c r="O23" s="441">
        <f t="shared" si="15"/>
        <v>0</v>
      </c>
      <c r="P23" s="442">
        <f t="shared" si="16"/>
        <v>0</v>
      </c>
      <c r="Q23" s="440">
        <f t="shared" ref="Q23:Q32" ca="1" si="17">SUM(B23:P23)</f>
        <v>3906.197220842238</v>
      </c>
    </row>
    <row r="24" spans="1:17">
      <c r="A24" s="440" t="s">
        <v>187</v>
      </c>
      <c r="B24" s="441">
        <f t="shared" ca="1" si="2"/>
        <v>128.40436994464667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128.40436994464667</v>
      </c>
    </row>
    <row r="25" spans="1:17">
      <c r="A25" s="440" t="s">
        <v>105</v>
      </c>
      <c r="B25" s="441">
        <f t="shared" ca="1" si="2"/>
        <v>100.71061347472806</v>
      </c>
      <c r="C25" s="441">
        <f t="shared" ca="1" si="3"/>
        <v>0</v>
      </c>
      <c r="D25" s="441">
        <f t="shared" si="4"/>
        <v>166.10855087579415</v>
      </c>
      <c r="E25" s="441">
        <f t="shared" si="5"/>
        <v>3.972395547757845</v>
      </c>
      <c r="F25" s="441">
        <f t="shared" si="6"/>
        <v>860.07581829062281</v>
      </c>
      <c r="G25" s="441">
        <f t="shared" si="7"/>
        <v>0</v>
      </c>
      <c r="H25" s="441">
        <f t="shared" si="8"/>
        <v>0</v>
      </c>
      <c r="I25" s="441">
        <f t="shared" si="9"/>
        <v>0</v>
      </c>
      <c r="J25" s="441">
        <f t="shared" si="10"/>
        <v>74.247352898564472</v>
      </c>
      <c r="K25" s="441">
        <f t="shared" si="11"/>
        <v>0</v>
      </c>
      <c r="L25" s="441">
        <f t="shared" si="12"/>
        <v>0</v>
      </c>
      <c r="M25" s="441">
        <f t="shared" si="13"/>
        <v>0</v>
      </c>
      <c r="N25" s="441">
        <f t="shared" si="14"/>
        <v>0</v>
      </c>
      <c r="O25" s="441">
        <f t="shared" si="15"/>
        <v>0</v>
      </c>
      <c r="P25" s="442">
        <f t="shared" si="16"/>
        <v>0</v>
      </c>
      <c r="Q25" s="440">
        <f t="shared" ca="1" si="17"/>
        <v>1205.1147310874674</v>
      </c>
    </row>
    <row r="26" spans="1:17">
      <c r="A26" s="440" t="s">
        <v>600</v>
      </c>
      <c r="B26" s="441">
        <f t="shared" ca="1" si="2"/>
        <v>329.49026324579125</v>
      </c>
      <c r="C26" s="441">
        <f t="shared" ca="1" si="3"/>
        <v>0</v>
      </c>
      <c r="D26" s="441">
        <f t="shared" si="4"/>
        <v>2173.8783047375914</v>
      </c>
      <c r="E26" s="441">
        <f t="shared" si="5"/>
        <v>75.998684294083219</v>
      </c>
      <c r="F26" s="441">
        <f t="shared" si="6"/>
        <v>334.74316190388635</v>
      </c>
      <c r="G26" s="441">
        <f t="shared" si="7"/>
        <v>0</v>
      </c>
      <c r="H26" s="441">
        <f t="shared" si="8"/>
        <v>0</v>
      </c>
      <c r="I26" s="441">
        <f t="shared" si="9"/>
        <v>0</v>
      </c>
      <c r="J26" s="441">
        <f t="shared" si="10"/>
        <v>4.2309810372881556</v>
      </c>
      <c r="K26" s="441">
        <f t="shared" si="11"/>
        <v>0</v>
      </c>
      <c r="L26" s="441">
        <f t="shared" si="12"/>
        <v>0</v>
      </c>
      <c r="M26" s="441">
        <f t="shared" si="13"/>
        <v>0</v>
      </c>
      <c r="N26" s="441">
        <f t="shared" si="14"/>
        <v>0</v>
      </c>
      <c r="O26" s="441">
        <f t="shared" si="15"/>
        <v>0</v>
      </c>
      <c r="P26" s="442">
        <f t="shared" si="16"/>
        <v>0</v>
      </c>
      <c r="Q26" s="440">
        <f t="shared" ca="1" si="17"/>
        <v>2918.3413952186402</v>
      </c>
    </row>
    <row r="27" spans="1:17" s="446" customFormat="1">
      <c r="A27" s="444" t="s">
        <v>549</v>
      </c>
      <c r="B27" s="708">
        <f t="shared" ca="1" si="2"/>
        <v>1.7830139301254986</v>
      </c>
      <c r="C27" s="445">
        <f t="shared" ca="1" si="3"/>
        <v>0</v>
      </c>
      <c r="D27" s="445">
        <f t="shared" si="4"/>
        <v>5.6526979773040598</v>
      </c>
      <c r="E27" s="445">
        <f t="shared" si="5"/>
        <v>28.348356949936672</v>
      </c>
      <c r="F27" s="445">
        <f t="shared" si="6"/>
        <v>0</v>
      </c>
      <c r="G27" s="445">
        <f t="shared" si="7"/>
        <v>12959.78921060012</v>
      </c>
      <c r="H27" s="445">
        <f t="shared" si="8"/>
        <v>2389.9686522542584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15385.541931711745</v>
      </c>
    </row>
    <row r="28" spans="1:17">
      <c r="A28" s="440" t="s">
        <v>539</v>
      </c>
      <c r="B28" s="441">
        <f t="shared" ca="1" si="2"/>
        <v>0.53157957960566482</v>
      </c>
      <c r="C28" s="441">
        <f t="shared" ca="1" si="3"/>
        <v>0</v>
      </c>
      <c r="D28" s="441">
        <f t="shared" si="4"/>
        <v>0</v>
      </c>
      <c r="E28" s="441">
        <f t="shared" si="5"/>
        <v>0</v>
      </c>
      <c r="F28" s="441">
        <f t="shared" si="6"/>
        <v>0</v>
      </c>
      <c r="G28" s="441">
        <f t="shared" si="7"/>
        <v>221.96480078633917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222.49638036594484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206.83473941932493</v>
      </c>
      <c r="C32" s="441">
        <f t="shared" ca="1" si="3"/>
        <v>0</v>
      </c>
      <c r="D32" s="441">
        <f t="shared" si="4"/>
        <v>209.9099679544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416.74470737372496</v>
      </c>
    </row>
    <row r="33" spans="1:17" s="450" customFormat="1">
      <c r="A33" s="956" t="s">
        <v>543</v>
      </c>
      <c r="B33" s="896">
        <f ca="1">SUM(B22:B32)</f>
        <v>5414.3887129944014</v>
      </c>
      <c r="C33" s="896">
        <f t="shared" ref="C33:Q33" ca="1" si="18">SUM(C22:C32)</f>
        <v>0</v>
      </c>
      <c r="D33" s="896">
        <f t="shared" ca="1" si="18"/>
        <v>13534.087984008735</v>
      </c>
      <c r="E33" s="896">
        <f t="shared" si="18"/>
        <v>526.93357824149871</v>
      </c>
      <c r="F33" s="896">
        <f t="shared" ca="1" si="18"/>
        <v>13923.598878422827</v>
      </c>
      <c r="G33" s="896">
        <f t="shared" si="18"/>
        <v>13181.75401138646</v>
      </c>
      <c r="H33" s="896">
        <f t="shared" si="18"/>
        <v>2389.9686522542584</v>
      </c>
      <c r="I33" s="896">
        <f t="shared" si="18"/>
        <v>0</v>
      </c>
      <c r="J33" s="896">
        <f t="shared" si="18"/>
        <v>375.21895612266985</v>
      </c>
      <c r="K33" s="896">
        <f t="shared" si="18"/>
        <v>0</v>
      </c>
      <c r="L33" s="896">
        <f t="shared" ca="1" si="18"/>
        <v>0</v>
      </c>
      <c r="M33" s="896">
        <f t="shared" si="18"/>
        <v>0</v>
      </c>
      <c r="N33" s="896">
        <f t="shared" ca="1" si="18"/>
        <v>0</v>
      </c>
      <c r="O33" s="896">
        <f t="shared" si="18"/>
        <v>0</v>
      </c>
      <c r="P33" s="896">
        <f t="shared" si="18"/>
        <v>0</v>
      </c>
      <c r="Q33" s="896">
        <f t="shared" ca="1" si="18"/>
        <v>49345.950773430857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19843.327069001127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3106.164829943315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40.5</v>
      </c>
      <c r="C8" s="973">
        <f>'SEAP template'!C76</f>
        <v>0</v>
      </c>
      <c r="D8" s="973">
        <f>'SEAP template'!D76</f>
        <v>0</v>
      </c>
      <c r="E8" s="973">
        <f>'SEAP template'!E76</f>
        <v>0</v>
      </c>
      <c r="F8" s="973">
        <f>'SEAP template'!F76</f>
        <v>0</v>
      </c>
      <c r="G8" s="973">
        <f>'SEAP template'!G76</f>
        <v>0</v>
      </c>
      <c r="H8" s="973">
        <f>'SEAP template'!H76</f>
        <v>0</v>
      </c>
      <c r="I8" s="973">
        <f>'SEAP template'!I76</f>
        <v>47.647058823529413</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22989.991898944441</v>
      </c>
      <c r="C10" s="977">
        <f>SUM(C4:C9)</f>
        <v>0</v>
      </c>
      <c r="D10" s="977">
        <f t="shared" ref="D10:H10" si="0">SUM(D8:D9)</f>
        <v>0</v>
      </c>
      <c r="E10" s="977">
        <f t="shared" si="0"/>
        <v>0</v>
      </c>
      <c r="F10" s="977">
        <f t="shared" si="0"/>
        <v>0</v>
      </c>
      <c r="G10" s="977">
        <f t="shared" si="0"/>
        <v>0</v>
      </c>
      <c r="H10" s="977">
        <f t="shared" si="0"/>
        <v>0</v>
      </c>
      <c r="I10" s="977">
        <f>SUM(I8:I9)</f>
        <v>47.647058823529413</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0.11401236152466514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45.5625</v>
      </c>
      <c r="C17" s="979">
        <f>'SEAP template'!C87</f>
        <v>0</v>
      </c>
      <c r="D17" s="974">
        <f>'SEAP template'!D87</f>
        <v>0</v>
      </c>
      <c r="E17" s="974">
        <f>'SEAP template'!E87</f>
        <v>0</v>
      </c>
      <c r="F17" s="974">
        <f>'SEAP template'!F87</f>
        <v>0</v>
      </c>
      <c r="G17" s="974">
        <f>'SEAP template'!G87</f>
        <v>0</v>
      </c>
      <c r="H17" s="974">
        <f>'SEAP template'!H87</f>
        <v>0</v>
      </c>
      <c r="I17" s="974">
        <f>'SEAP template'!I87</f>
        <v>53.602941176470587</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45.5625</v>
      </c>
      <c r="C20" s="977">
        <f>SUM(C17:C19)</f>
        <v>0</v>
      </c>
      <c r="D20" s="977">
        <f t="shared" ref="D20:H20" si="2">SUM(D17:D19)</f>
        <v>0</v>
      </c>
      <c r="E20" s="977">
        <f t="shared" si="2"/>
        <v>0</v>
      </c>
      <c r="F20" s="977">
        <f t="shared" si="2"/>
        <v>0</v>
      </c>
      <c r="G20" s="977">
        <f t="shared" si="2"/>
        <v>0</v>
      </c>
      <c r="H20" s="977">
        <f t="shared" si="2"/>
        <v>0</v>
      </c>
      <c r="I20" s="977">
        <f>SUM(I17:I19)</f>
        <v>53.602941176470587</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0.11401236152466514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2022-07-26T11:13:51Z</dcterms:modified>
</cp:coreProperties>
</file>