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B83BC138-6DFB-4842-82D2-A45A57007D6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<sst xmlns="http://schemas.openxmlformats.org/spreadsheetml/2006/main" count="2406" uniqueCount="887">
  <si>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</si>
  <si>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</si>
  <si>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</si>
  <si>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</si>
  <si>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</si>
  <si>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</si>
  <si>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</si>
  <si>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</si>
  <si>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</si>
  <si>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</si>
  <si>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</si>
  <si>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</si>
  <si>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</si>
  <si>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</si>
  <si>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</si>
  <si>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</si>
  <si>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</si>
  <si>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</si>
  <si>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</si>
  <si>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</si>
  <si>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</si>
  <si>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</si>
  <si>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</si>
  <si>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</si>
  <si>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</si>
  <si>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</si>
  <si>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</si>
  <si>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</si>
  <si>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</si>
  <si>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</si>
  <si>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</si>
  <si>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</si>
  <si>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</si>
  <si>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</si>
  <si>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</si>
  <si>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</si>
  <si>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</si>
  <si>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</si>
  <si>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</si>
  <si>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</si>
  <si>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</si>
  <si>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</si>
  <si>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</si>
  <si>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</si>
  <si>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</si>
  <si>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</si>
  <si>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</si>
  <si>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</si>
  <si>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</si>
  <si>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</si>
  <si>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</si>
  <si>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</si>
  <si>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</si>
  <si>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</si>
  <si>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</si>
  <si>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</si>
  <si>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</si>
  <si>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</si>
  <si>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</si>
  <si>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</si>
  <si>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</si>
  <si>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</si>
  <si>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</si>
  <si>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</si>
  <si>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</si>
  <si>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</si>
  <si>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</si>
  <si>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</si>
  <si>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</si>
  <si>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</si>
  <si>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</si>
  <si>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</si>
  <si>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</si>
  <si>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</si>
  <si>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</si>
  <si>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</si>
  <si>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</si>
  <si>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</si>
  <si>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</si>
  <si>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</si>
  <si>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</si>
  <si>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</si>
  <si>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</si>
  <si>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</si>
  <si>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</si>
  <si>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</si>
  <si>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</si>
  <si>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</si>
  <si>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</si>
  <si>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</si>
  <si>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</si>
  <si>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</si>
  <si>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</si>
  <si>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</si>
  <si>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</si>
  <si>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</si>
  <si>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</si>
  <si>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</si>
  <si>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</si>
  <si>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</si>
  <si>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</si>
  <si>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</si>
  <si>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</si>
  <si>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</si>
  <si>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</si>
  <si>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</si>
  <si>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</si>
  <si>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</si>
  <si>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</si>
  <si>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</si>
  <si>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</si>
  <si>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</si>
  <si>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</si>
  <si>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</si>
  <si>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</si>
  <si>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</si>
  <si>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</si>
  <si>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</si>
  <si>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</si>
  <si>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</si>
  <si>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</si>
  <si>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</si>
  <si>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</si>
  <si>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</si>
  <si>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</si>
  <si>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</si>
  <si>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</si>
  <si>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</si>
  <si>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</si>
  <si>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</si>
  <si>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</si>
  <si>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</si>
  <si>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</si>
  <si>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</si>
  <si>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</si>
  <si>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</si>
  <si>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</si>
  <si>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</si>
  <si>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</si>
  <si>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</si>
  <si>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</si>
  <si>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</si>
  <si>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</si>
  <si>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</si>
  <si>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</si>
  <si>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</si>
  <si>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</si>
  <si>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</si>
  <si>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</si>
  <si>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</si>
  <si>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</si>
  <si>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</si>
  <si>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</si>
  <si>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</si>
  <si>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</si>
  <si>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</si>
  <si>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</si>
  <si>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</si>
  <si>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</si>
  <si>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</si>
  <si>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</si>
  <si>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</si>
  <si>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</si>
  <si>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</si>
  <si>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</si>
  <si>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</si>
  <si>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</si>
  <si>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</si>
  <si>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</si>
  <si>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</si>
  <si>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</si>
  <si>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</si>
  <si>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</si>
  <si>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</si>
  <si>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</si>
  <si>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</si>
  <si>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</si>
  <si>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</si>
  <si>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</si>
  <si>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</si>
  <si>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</si>
  <si>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</si>
  <si>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</si>
  <si>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</si>
  <si>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</si>
  <si>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</si>
  <si>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</si>
  <si>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</si>
  <si>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</si>
  <si>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</si>
  <si>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</si>
  <si>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</si>
  <si>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</si>
  <si>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</si>
  <si>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</si>
  <si>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</si>
  <si>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</si>
  <si>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</si>
  <si>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</si>
  <si>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</si>
  <si>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</si>
  <si>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</si>
  <si>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</si>
  <si>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</si>
  <si>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</si>
  <si>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</si>
  <si>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</si>
  <si>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</si>
  <si>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</si>
  <si>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</si>
  <si>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</si>
  <si>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</si>
  <si>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</si>
  <si>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</si>
  <si>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</si>
  <si>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</si>
  <si>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</si>
  <si>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</si>
  <si>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</si>
  <si>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</si>
  <si>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</si>
  <si>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</si>
  <si>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</si>
  <si>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</si>
  <si>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</si>
  <si>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</si>
  <si>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</si>
  <si>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</si>
  <si>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</si>
  <si>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</si>
  <si>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</si>
  <si>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</si>
  <si>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</si>
  <si>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</si>
  <si>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</si>
  <si>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</si>
  <si>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</si>
  <si>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</si>
  <si>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</si>
  <si>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</si>
  <si>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</si>
  <si>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</si>
  <si>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</si>
  <si>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</si>
  <si>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</si>
  <si>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</si>
  <si>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</si>
  <si>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</si>
  <si>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</si>
  <si>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</si>
  <si>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</si>
  <si>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</si>
  <si>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</si>
  <si>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</si>
  <si>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</si>
  <si>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</si>
  <si>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</si>
  <si>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</si>
  <si>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</si>
  <si>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</si>
  <si>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</si>
  <si>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</si>
  <si>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</si>
  <si>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</si>
  <si>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</si>
  <si>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</si>
  <si>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</si>
  <si>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</si>
  <si>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</si>
  <si>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</si>
  <si>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</si>
  <si>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</si>
  <si>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</si>
  <si>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</si>
  <si>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</si>
  <si>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</si>
  <si>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</si>
  <si>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</si>
  <si>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</si>
  <si>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</si>
  <si>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</si>
  <si>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</si>
  <si>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</si>
  <si>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</si>
  <si>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</si>
  <si>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</si>
  <si>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</si>
  <si>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</si>
  <si>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</si>
  <si>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</si>
  <si>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</si>
  <si>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</si>
  <si>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</si>
  <si>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</si>
  <si>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</si>
  <si>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</si>
  <si>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</si>
  <si>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</si>
  <si>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</si>
  <si>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</si>
  <si>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</si>
  <si>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</si>
  <si>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</si>
  <si>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</si>
  <si>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</si>
  <si>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</si>
  <si>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</si>
  <si>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</si>
  <si>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</si>
  <si>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</si>
  <si>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</si>
  <si>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</si>
  <si>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</si>
  <si>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</si>
  <si>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</si>
  <si>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</si>
  <si>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</si>
  <si>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</si>
  <si>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</si>
  <si>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</si>
  <si>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</si>
  <si>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</si>
  <si>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</si>
  <si>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</si>
  <si>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</si>
  <si>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</si>
  <si>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</si>
  <si>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</si>
  <si>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</si>
  <si>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</si>
  <si>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</si>
  <si>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</si>
  <si>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</si>
  <si>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</si>
  <si>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</si>
  <si>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</si>
  <si>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</si>
  <si>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</si>
  <si>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</si>
  <si>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</si>
  <si>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</si>
  <si>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</si>
  <si>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</si>
  <si>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</si>
  <si>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</si>
  <si>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</si>
  <si>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</si>
  <si>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</si>
  <si>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</si>
  <si>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</si>
  <si>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</si>
  <si>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</si>
  <si>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</si>
  <si>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</si>
  <si>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</si>
  <si>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</si>
  <si>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</si>
  <si>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</si>
  <si>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</si>
  <si>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</si>
  <si>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</si>
  <si>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</si>
  <si>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</si>
  <si>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</si>
  <si>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</si>
  <si>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</si>
  <si>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</si>
  <si>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</si>
  <si>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</si>
  <si>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</si>
  <si>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</si>
  <si>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</si>
  <si>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</si>
  <si>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</si>
  <si>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</si>
  <si>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</si>
  <si>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</si>
  <si>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</si>
  <si>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</si>
  <si>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</si>
  <si>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</si>
  <si>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</si>
  <si>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</si>
  <si>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</si>
  <si>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</si>
  <si>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</si>
  <si>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</si>
  <si>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</si>
  <si>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</si>
  <si>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</si>
  <si>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</si>
  <si>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</si>
  <si>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</si>
  <si>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</si>
  <si>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</si>
  <si>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</si>
  <si>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</si>
  <si>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</si>
  <si>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</si>
  <si>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</si>
  <si>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</si>
  <si>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</si>
  <si>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</si>
  <si>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</si>
  <si>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</si>
  <si>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</si>
  <si>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</si>
  <si>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</si>
  <si>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</si>
  <si>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</si>
  <si>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</si>
  <si>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</si>
  <si>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</si>
  <si>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</si>
  <si>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</si>
  <si>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</si>
  <si>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</si>
  <si>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</si>
  <si>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</si>
  <si>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</si>
  <si>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</si>
  <si>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</si>
  <si>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</si>
  <si>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</si>
  <si>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</si>
  <si>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</si>
  <si>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</si>
  <si>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</si>
  <si>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</si>
  <si>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</si>
  <si>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</si>
  <si>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</si>
  <si>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</si>
  <si>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</si>
  <si>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</si>
  <si>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</si>
  <si>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</si>
  <si>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</si>
  <si>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</si>
  <si>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</si>
  <si>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</si>
  <si>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</si>
  <si>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</si>
  <si>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</si>
  <si>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</si>
  <si>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</si>
  <si>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</si>
  <si>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</si>
  <si>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</si>
  <si>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</si>
  <si>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</si>
  <si>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</si>
  <si>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</si>
  <si>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</si>
  <si>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</si>
  <si>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</si>
  <si>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</si>
  <si>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</si>
  <si>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</si>
  <si>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</si>
  <si>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</si>
  <si>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</si>
  <si>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</si>
  <si>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</si>
  <si>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</si>
  <si>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</si>
  <si>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</si>
  <si>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</si>
  <si>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</si>
  <si>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</si>
  <si>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</si>
  <si>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</si>
  <si>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</si>
  <si>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</si>
  <si>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</si>
  <si>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</si>
  <si>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</si>
  <si>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</si>
  <si>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</si>
  <si>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</si>
  <si>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</si>
  <si>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</si>
  <si>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</si>
  <si>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</si>
  <si>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</si>
  <si>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</si>
  <si>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</si>
  <si>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</si>
  <si>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</si>
  <si>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</si>
  <si>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</si>
  <si>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</si>
  <si>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</si>
  <si>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</si>
  <si>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</si>
  <si>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</si>
  <si>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</si>
  <si>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</si>
  <si>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</si>
  <si>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</si>
  <si>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</si>
  <si>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</si>
  <si>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</si>
  <si>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</si>
  <si>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</si>
  <si>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</si>
  <si>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</si>
  <si>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</si>
  <si>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</si>
  <si>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</si>
  <si>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</si>
  <si>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</si>
  <si>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</si>
  <si>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</si>
  <si>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</si>
  <si>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</si>
  <si>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</si>
  <si>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</si>
  <si>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</si>
  <si>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</si>
  <si>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</si>
  <si>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</si>
  <si>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</si>
  <si>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</si>
  <si>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</si>
  <si>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</si>
  <si>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</si>
  <si>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</si>
  <si>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</si>
  <si>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</si>
  <si>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</si>
  <si>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</si>
  <si>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</si>
  <si>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</si>
  <si>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</si>
  <si>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</si>
  <si>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</si>
  <si>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</si>
  <si>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</si>
  <si>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</si>
  <si>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</si>
  <si>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</si>
  <si>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</si>
  <si>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</si>
  <si>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</si>
  <si>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</si>
  <si>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</si>
  <si>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</si>
  <si>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</si>
  <si>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</si>
  <si>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</si>
  <si>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</si>
  <si>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</si>
  <si>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</si>
  <si>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</si>
  <si>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</si>
  <si>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</si>
  <si>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</si>
  <si>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</si>
  <si>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</si>
  <si>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</si>
  <si>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</si>
  <si>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</si>
  <si>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</si>
  <si>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</si>
  <si>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</si>
  <si>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</si>
  <si>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</si>
  <si>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</si>
  <si>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</si>
  <si>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</si>
  <si>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</si>
  <si>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</si>
  <si>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</si>
  <si>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</si>
  <si>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</si>
  <si>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</si>
  <si>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</si>
  <si>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</si>
  <si>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</si>
  <si>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</si>
  <si>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</si>
  <si>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</si>
  <si>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</si>
  <si>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</si>
  <si>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</si>
  <si>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</si>
  <si>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</si>
  <si>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</si>
  <si>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</si>
  <si>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</si>
  <si>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</si>
  <si>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</si>
  <si>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</si>
  <si>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</si>
  <si>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</si>
  <si>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</si>
  <si>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</si>
  <si>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</si>
  <si>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</si>
  <si>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</si>
  <si>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</si>
  <si>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</si>
  <si>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</si>
  <si>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</si>
  <si>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</si>
  <si>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</si>
  <si>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</si>
  <si>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</si>
  <si>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</si>
  <si>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</si>
  <si>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</si>
  <si>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</si>
  <si>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</si>
  <si>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</si>
  <si>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</si>
  <si>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</si>
  <si>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</si>
  <si>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</si>
  <si>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</si>
  <si>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</si>
  <si>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</si>
  <si>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</si>
  <si>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</si>
  <si>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</si>
  <si>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</si>
  <si>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</si>
  <si>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</si>
  <si>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</si>
  <si>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</si>
  <si>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</si>
  <si>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</si>
  <si>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</si>
  <si>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</si>
  <si>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</si>
  <si>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</si>
  <si>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</si>
  <si>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</si>
  <si>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</si>
  <si>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</si>
  <si>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</si>
  <si>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</si>
  <si>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</si>
  <si>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</si>
  <si>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</si>
  <si>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</si>
  <si>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</si>
  <si>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</si>
  <si>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</si>
  <si>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</si>
  <si>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</si>
  <si>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</si>
  <si>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</si>
  <si>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</si>
  <si>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</si>
  <si>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</si>
  <si>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</si>
  <si>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</si>
  <si>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</si>
  <si>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</si>
  <si>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</si>
  <si>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</si>
  <si>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</si>
  <si>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</si>
  <si>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</si>
  <si>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</si>
  <si>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</si>
  <si>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</si>
  <si>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</si>
  <si>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</si>
  <si>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</si>
  <si>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</si>
  <si>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</si>
  <si>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</si>
  <si>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</si>
  <si>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</si>
  <si>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</si>
  <si>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</si>
  <si>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</si>
  <si>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</si>
  <si>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</si>
  <si>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</si>
  <si>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</si>
  <si>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</si>
  <si>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</si>
  <si>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</si>
  <si>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</si>
  <si>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</si>
  <si>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</si>
  <si>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</si>
  <si>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</si>
  <si>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</si>
  <si>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</si>
  <si>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</si>
  <si>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</si>
  <si>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</si>
  <si>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</si>
  <si>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</si>
  <si>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</si>
  <si>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</si>
  <si>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</si>
  <si>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</si>
  <si>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</si>
  <si>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</si>
  <si>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</si>
  <si>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</si>
  <si>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</si>
  <si>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</si>
  <si>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</si>
  <si>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</si>
  <si>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</si>
  <si>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</si>
  <si>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</si>
  <si>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</si>
  <si>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</si>
  <si>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</si>
  <si>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</si>
  <si>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</si>
  <si>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</si>
  <si>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</si>
  <si>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</si>
  <si>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</si>
  <si>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</si>
  <si>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</si>
  <si>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</si>
  <si>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</si>
  <si>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</si>
  <si>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</si>
  <si>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</si>
  <si>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</si>
  <si>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</si>
  <si>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</si>
  <si>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</si>
  <si>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</si>
  <si>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</si>
  <si>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</si>
  <si>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</si>
  <si>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</si>
  <si>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</si>
  <si>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</si>
  <si>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</si>
  <si>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</si>
  <si>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</si>
  <si>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</si>
  <si>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</si>
  <si>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</si>
  <si>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</si>
  <si>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</si>
  <si>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</si>
  <si>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</si>
  <si>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</si>
  <si>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</si>
  <si>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</si>
  <si>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</si>
  <si>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</si>
  <si>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</si>
  <si>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</si>
  <si>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</si>
  <si>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</si>
  <si>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</si>
  <si>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</si>
  <si>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</si>
  <si>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</si>
  <si>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</si>
  <si>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</si>
  <si>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</si>
  <si>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</si>
  <si>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</si>
  <si>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</si>
  <si>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</si>
  <si>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</si>
  <si>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</si>
  <si>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</si>
  <si>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</si>
  <si>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</si>
  <si>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</si>
  <si>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</si>
  <si>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</si>
  <si>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</si>
  <si>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</si>
  <si>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</si>
  <si>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</si>
  <si>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</si>
  <si>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</si>
  <si>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</si>
  <si>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</si>
  <si>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</si>
  <si>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</si>
  <si>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</si>
  <si>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</si>
  <si>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</si>
  <si>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</si>
  <si>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</si>
  <si>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</si>
  <si>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</si>
  <si>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</si>
  <si>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</si>
  <si>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</si>
  <si>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</si>
  <si>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</si>
  <si>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</si>
  <si>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</si>
  <si>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</si>
  <si>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</si>
  <si>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</si>
  <si>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</si>
  <si>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</si>
  <si>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</si>
  <si>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</si>
  <si>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</si>
  <si>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</si>
  <si>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</si>
  <si>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</si>
  <si>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</si>
  <si>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</si>
  <si>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</si>
  <si>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</si>
  <si>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</si>
  <si>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</si>
  <si>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</si>
  <si>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</si>
  <si>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</si>
  <si>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</si>
  <si>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</si>
  <si>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</si>
  <si>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</si>
  <si>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</si>
  <si>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</si>
  <si>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</si>
  <si>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</si>
  <si>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</si>
  <si>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</si>
  <si>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</si>
  <si>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</si>
  <si>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</si>
  <si>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</si>
  <si>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</si>
  <si>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</si>
  <si>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</si>
  <si>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</si>
  <si>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</si>
  <si>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</si>
  <si>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</si>
  <si>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</si>
  <si>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</si>
  <si>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</si>
  <si>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</si>
  <si>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</si>
  <si>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</si>
  <si>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</si>
  <si>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</si>
  <si>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</si>
  <si>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</si>
  <si>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</si>
  <si>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</si>
  <si>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</si>
  <si>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</si>
  <si>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</si>
  <si>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</si>
  <si>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</si>
  <si>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</si>
  <si>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</si>
  <si>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</si>
  <si>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</si>
  <si>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</si>
  <si>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</si>
  <si>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</si>
  <si>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</si>
  <si>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</si>
  <si>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</si>
  <si>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</si>
  <si>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</si>
  <si>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</si>
  <si>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</si>
  <si>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</si>
  <si>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</si>
  <si>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</si>
  <si>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</si>
  <si>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</si>
  <si>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</si>
  <si>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</si>
  <si>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</si>
  <si>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38008</t>
  </si>
  <si>
    <t>DE_PANNE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</si>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</sst>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652F82B8-264A-43B9-A823-79E3201C5BE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86859.198178434948</c:v>
                </c:pt>
                <c:pt idx="1">
                  <c:v>65719.954503596251</c:v>
                </c:pt>
                <c:pt idx="2">
                  <c:v>1564.6669999999999</c:v>
                </c:pt>
                <c:pt idx="3">
                  <c:v>2087.3046649163689</c:v>
                </c:pt>
                <c:pt idx="4">
                  <c:v>4866.0599308216078</c:v>
                </c:pt>
                <c:pt idx="5">
                  <c:v>86233.737109617083</c:v>
                </c:pt>
                <c:pt idx="6">
                  <c:v>957.89539945457568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86859.198178434948</c:v>
                </c:pt>
                <c:pt idx="1">
                  <c:v>65719.954503596251</c:v>
                </c:pt>
                <c:pt idx="2">
                  <c:v>1564.6669999999999</c:v>
                </c:pt>
                <c:pt idx="3">
                  <c:v>2087.3046649163689</c:v>
                </c:pt>
                <c:pt idx="4">
                  <c:v>4866.0599308216078</c:v>
                </c:pt>
                <c:pt idx="5">
                  <c:v>86233.737109617083</c:v>
                </c:pt>
                <c:pt idx="6">
                  <c:v>957.89539945457568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16558.53443680991</c:v>
                </c:pt>
                <c:pt idx="2">
                  <c:v>13733.991507705285</c:v>
                </c:pt>
                <c:pt idx="3">
                  <c:v>337.29116144203027</c:v>
                </c:pt>
                <c:pt idx="4">
                  <c:v>541.35259625077458</c:v>
                </c:pt>
                <c:pt idx="5">
                  <c:v>1026.5156288823973</c:v>
                </c:pt>
                <c:pt idx="6">
                  <c:v>22167.627730012318</c:v>
                </c:pt>
                <c:pt idx="7">
                  <c:v>213.64304799672146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16558.53443680991</c:v>
                </c:pt>
                <c:pt idx="2">
                  <c:v>13733.991507705285</c:v>
                </c:pt>
                <c:pt idx="3">
                  <c:v>337.29116144203027</c:v>
                </c:pt>
                <c:pt idx="4">
                  <c:v>541.35259625077458</c:v>
                </c:pt>
                <c:pt idx="5">
                  <c:v>1026.5156288823973</c:v>
                </c:pt>
                <c:pt idx="6">
                  <c:v>22167.627730012318</c:v>
                </c:pt>
                <c:pt idx="7">
                  <c:v>213.64304799672146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38008</v>
      </c>
      <c r="B6" s="380"/>
      <c r="C6" s="381"/>
    </row>
    <row r="7" spans="1:7" s="378" customFormat="1" ht="15.75" customHeight="1">
      <c r="A7" s="382" t="str">
        <f>txtMunicipality</f>
        <v>DE_PANNE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0.21556737723875449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0.21556737723875449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5480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1150.95</v>
      </c>
      <c r="C14" s="322"/>
      <c r="D14" s="322"/>
      <c r="E14" s="322"/>
      <c r="F14" s="322"/>
    </row>
    <row r="15" spans="1:6">
      <c r="A15" s="1248" t="s">
        <v>177</v>
      </c>
      <c r="B15" s="1249">
        <v>14</v>
      </c>
      <c r="C15" s="322"/>
      <c r="D15" s="322"/>
      <c r="E15" s="322"/>
      <c r="F15" s="322"/>
    </row>
    <row r="16" spans="1:6">
      <c r="A16" s="1248" t="s">
        <v>6</v>
      </c>
      <c r="B16" s="1249">
        <v>737</v>
      </c>
      <c r="C16" s="322"/>
      <c r="D16" s="322"/>
      <c r="E16" s="322"/>
      <c r="F16" s="322"/>
    </row>
    <row r="17" spans="1:6">
      <c r="A17" s="1248" t="s">
        <v>7</v>
      </c>
      <c r="B17" s="1249">
        <v>92</v>
      </c>
      <c r="C17" s="322"/>
      <c r="D17" s="322"/>
      <c r="E17" s="322"/>
      <c r="F17" s="322"/>
    </row>
    <row r="18" spans="1:6">
      <c r="A18" s="1248" t="s">
        <v>8</v>
      </c>
      <c r="B18" s="1249">
        <v>336</v>
      </c>
      <c r="C18" s="322"/>
      <c r="D18" s="322"/>
      <c r="E18" s="322"/>
      <c r="F18" s="322"/>
    </row>
    <row r="19" spans="1:6">
      <c r="A19" s="1248" t="s">
        <v>9</v>
      </c>
      <c r="B19" s="1249">
        <v>408</v>
      </c>
      <c r="C19" s="322"/>
      <c r="D19" s="322"/>
      <c r="E19" s="322"/>
      <c r="F19" s="322"/>
    </row>
    <row r="20" spans="1:6">
      <c r="A20" s="1248" t="s">
        <v>10</v>
      </c>
      <c r="B20" s="1249">
        <v>268</v>
      </c>
      <c r="C20" s="322"/>
      <c r="D20" s="322"/>
      <c r="E20" s="322"/>
      <c r="F20" s="322"/>
    </row>
    <row r="21" spans="1:6">
      <c r="A21" s="1248" t="s">
        <v>11</v>
      </c>
      <c r="B21" s="1249">
        <v>2020</v>
      </c>
      <c r="C21" s="322"/>
      <c r="D21" s="322"/>
      <c r="E21" s="322"/>
      <c r="F21" s="322"/>
    </row>
    <row r="22" spans="1:6">
      <c r="A22" s="1248" t="s">
        <v>12</v>
      </c>
      <c r="B22" s="1249">
        <v>468</v>
      </c>
      <c r="C22" s="322"/>
      <c r="D22" s="322"/>
      <c r="E22" s="322"/>
      <c r="F22" s="322"/>
    </row>
    <row r="23" spans="1:6">
      <c r="A23" s="1248" t="s">
        <v>13</v>
      </c>
      <c r="B23" s="1249">
        <v>35</v>
      </c>
      <c r="C23" s="322"/>
      <c r="D23" s="322"/>
      <c r="E23" s="322"/>
      <c r="F23" s="322"/>
    </row>
    <row r="24" spans="1:6">
      <c r="A24" s="1248" t="s">
        <v>14</v>
      </c>
      <c r="B24" s="1249">
        <v>4</v>
      </c>
      <c r="C24" s="322"/>
      <c r="D24" s="322"/>
      <c r="E24" s="322"/>
      <c r="F24" s="322"/>
    </row>
    <row r="25" spans="1:6">
      <c r="A25" s="1248" t="s">
        <v>15</v>
      </c>
      <c r="B25" s="1249">
        <v>702</v>
      </c>
      <c r="C25" s="322"/>
      <c r="D25" s="322"/>
      <c r="E25" s="322"/>
      <c r="F25" s="322"/>
    </row>
    <row r="26" spans="1:6">
      <c r="A26" s="1248" t="s">
        <v>16</v>
      </c>
      <c r="B26" s="1249">
        <v>28</v>
      </c>
      <c r="C26" s="322"/>
      <c r="D26" s="322"/>
      <c r="E26" s="322"/>
      <c r="F26" s="322"/>
    </row>
    <row r="27" spans="1:6">
      <c r="A27" s="1248" t="s">
        <v>17</v>
      </c>
      <c r="B27" s="1249">
        <v>0</v>
      </c>
      <c r="C27" s="322"/>
      <c r="D27" s="322"/>
      <c r="E27" s="322"/>
      <c r="F27" s="322"/>
    </row>
    <row r="28" spans="1:6">
      <c r="A28" s="1248" t="s">
        <v>18</v>
      </c>
      <c r="B28" s="1250">
        <v>30266</v>
      </c>
      <c r="C28" s="322"/>
      <c r="D28" s="322"/>
      <c r="E28" s="322"/>
      <c r="F28" s="322"/>
    </row>
    <row r="29" spans="1:6">
      <c r="A29" s="1248" t="s">
        <v>884</v>
      </c>
      <c r="B29" s="1250">
        <v>185</v>
      </c>
      <c r="C29" s="322"/>
      <c r="D29" s="322"/>
      <c r="E29" s="322"/>
      <c r="F29" s="322"/>
    </row>
    <row r="30" spans="1:6">
      <c r="A30" s="1243" t="s">
        <v>885</v>
      </c>
      <c r="B30" s="1251">
        <v>129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6</v>
      </c>
      <c r="F36" s="1249">
        <v>19053.789784000001</v>
      </c>
    </row>
    <row r="37" spans="1:6">
      <c r="A37" s="1248" t="s">
        <v>24</v>
      </c>
      <c r="B37" s="1248" t="s">
        <v>27</v>
      </c>
      <c r="C37" s="1249">
        <v>0</v>
      </c>
      <c r="D37" s="1249">
        <v>0</v>
      </c>
      <c r="E37" s="1249">
        <v>0</v>
      </c>
      <c r="F37" s="1249">
        <v>0</v>
      </c>
    </row>
    <row r="38" spans="1:6">
      <c r="A38" s="1248" t="s">
        <v>24</v>
      </c>
      <c r="B38" s="1248" t="s">
        <v>28</v>
      </c>
      <c r="C38" s="1249">
        <v>2</v>
      </c>
      <c r="D38" s="1249">
        <v>520433.87685</v>
      </c>
      <c r="E38" s="1249">
        <v>0</v>
      </c>
      <c r="F38" s="1249">
        <v>0</v>
      </c>
    </row>
    <row r="39" spans="1:6">
      <c r="A39" s="1248" t="s">
        <v>29</v>
      </c>
      <c r="B39" s="1248" t="s">
        <v>30</v>
      </c>
      <c r="C39" s="1249">
        <v>5955</v>
      </c>
      <c r="D39" s="1249">
        <v>61719940.413000003</v>
      </c>
      <c r="E39" s="1249">
        <v>10808</v>
      </c>
      <c r="F39" s="1249">
        <v>23392877.050000001</v>
      </c>
    </row>
    <row r="40" spans="1:6">
      <c r="A40" s="1248" t="s">
        <v>29</v>
      </c>
      <c r="B40" s="1248" t="s">
        <v>28</v>
      </c>
      <c r="C40" s="1249">
        <v>1</v>
      </c>
      <c r="D40" s="1249">
        <v>8440.6755006999992</v>
      </c>
      <c r="E40" s="1249">
        <v>1</v>
      </c>
      <c r="F40" s="1249">
        <v>1159.0597350999999</v>
      </c>
    </row>
    <row r="41" spans="1:6">
      <c r="A41" s="1248" t="s">
        <v>31</v>
      </c>
      <c r="B41" s="1248" t="s">
        <v>32</v>
      </c>
      <c r="C41" s="1249">
        <v>106</v>
      </c>
      <c r="D41" s="1249">
        <v>1224815.79</v>
      </c>
      <c r="E41" s="1249">
        <v>168</v>
      </c>
      <c r="F41" s="1249">
        <v>726948.65046999999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6</v>
      </c>
      <c r="D44" s="1249">
        <v>60236.778275999997</v>
      </c>
      <c r="E44" s="1249">
        <v>14</v>
      </c>
      <c r="F44" s="1249">
        <v>108931.02784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9</v>
      </c>
      <c r="D48" s="1249">
        <v>301273.52782999998</v>
      </c>
      <c r="E48" s="1249">
        <v>19</v>
      </c>
      <c r="F48" s="1249">
        <v>508272.38923999999</v>
      </c>
    </row>
    <row r="49" spans="1:6">
      <c r="A49" s="1248" t="s">
        <v>31</v>
      </c>
      <c r="B49" s="1248" t="s">
        <v>39</v>
      </c>
      <c r="C49" s="1249">
        <v>0</v>
      </c>
      <c r="D49" s="1249">
        <v>0</v>
      </c>
      <c r="E49" s="1249">
        <v>0</v>
      </c>
      <c r="F49" s="1249">
        <v>0</v>
      </c>
    </row>
    <row r="50" spans="1:6">
      <c r="A50" s="1248" t="s">
        <v>31</v>
      </c>
      <c r="B50" s="1248" t="s">
        <v>40</v>
      </c>
      <c r="C50" s="1249">
        <v>10</v>
      </c>
      <c r="D50" s="1249">
        <v>592656.01315999997</v>
      </c>
      <c r="E50" s="1249">
        <v>13</v>
      </c>
      <c r="F50" s="1249">
        <v>282662.93536</v>
      </c>
    </row>
    <row r="51" spans="1:6">
      <c r="A51" s="1248" t="s">
        <v>41</v>
      </c>
      <c r="B51" s="1248" t="s">
        <v>42</v>
      </c>
      <c r="C51" s="1249">
        <v>0</v>
      </c>
      <c r="D51" s="1249">
        <v>0</v>
      </c>
      <c r="E51" s="1249">
        <v>22</v>
      </c>
      <c r="F51" s="1249">
        <v>365004.22184000001</v>
      </c>
    </row>
    <row r="52" spans="1:6">
      <c r="A52" s="1248" t="s">
        <v>41</v>
      </c>
      <c r="B52" s="1248" t="s">
        <v>28</v>
      </c>
      <c r="C52" s="1249">
        <v>5</v>
      </c>
      <c r="D52" s="1249">
        <v>47732.112176000002</v>
      </c>
      <c r="E52" s="1249">
        <v>7</v>
      </c>
      <c r="F52" s="1249">
        <v>51852.054163000001</v>
      </c>
    </row>
    <row r="53" spans="1:6">
      <c r="A53" s="1248" t="s">
        <v>43</v>
      </c>
      <c r="B53" s="1248" t="s">
        <v>44</v>
      </c>
      <c r="C53" s="1249">
        <v>866</v>
      </c>
      <c r="D53" s="1249">
        <v>8756524.6816000007</v>
      </c>
      <c r="E53" s="1249">
        <v>2448</v>
      </c>
      <c r="F53" s="1249">
        <v>6024014.1655000001</v>
      </c>
    </row>
    <row r="54" spans="1:6">
      <c r="A54" s="1248" t="s">
        <v>45</v>
      </c>
      <c r="B54" s="1248" t="s">
        <v>46</v>
      </c>
      <c r="C54" s="1249">
        <v>0</v>
      </c>
      <c r="D54" s="1249">
        <v>0</v>
      </c>
      <c r="E54" s="1249">
        <v>1</v>
      </c>
      <c r="F54" s="1249">
        <v>1564667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49</v>
      </c>
      <c r="D57" s="1249">
        <v>1447415.1543000001</v>
      </c>
      <c r="E57" s="1249">
        <v>111</v>
      </c>
      <c r="F57" s="1249">
        <v>2168528.0980000002</v>
      </c>
    </row>
    <row r="58" spans="1:6">
      <c r="A58" s="1248" t="s">
        <v>48</v>
      </c>
      <c r="B58" s="1248" t="s">
        <v>50</v>
      </c>
      <c r="C58" s="1249">
        <v>15</v>
      </c>
      <c r="D58" s="1249">
        <v>167129.75542</v>
      </c>
      <c r="E58" s="1249">
        <v>37</v>
      </c>
      <c r="F58" s="1249">
        <v>137479.73005000001</v>
      </c>
    </row>
    <row r="59" spans="1:6">
      <c r="A59" s="1248" t="s">
        <v>48</v>
      </c>
      <c r="B59" s="1248" t="s">
        <v>51</v>
      </c>
      <c r="C59" s="1249">
        <v>172</v>
      </c>
      <c r="D59" s="1249">
        <v>3460344.2692</v>
      </c>
      <c r="E59" s="1249">
        <v>336</v>
      </c>
      <c r="F59" s="1249">
        <v>6013124.9551999997</v>
      </c>
    </row>
    <row r="60" spans="1:6">
      <c r="A60" s="1248" t="s">
        <v>48</v>
      </c>
      <c r="B60" s="1248" t="s">
        <v>52</v>
      </c>
      <c r="C60" s="1249">
        <v>170</v>
      </c>
      <c r="D60" s="1249">
        <v>9731920.6741000004</v>
      </c>
      <c r="E60" s="1249">
        <v>224</v>
      </c>
      <c r="F60" s="1249">
        <v>6409855.5268999999</v>
      </c>
    </row>
    <row r="61" spans="1:6">
      <c r="A61" s="1248" t="s">
        <v>48</v>
      </c>
      <c r="B61" s="1248" t="s">
        <v>53</v>
      </c>
      <c r="C61" s="1249">
        <v>223</v>
      </c>
      <c r="D61" s="1249">
        <v>7615192.8690999998</v>
      </c>
      <c r="E61" s="1249">
        <v>872</v>
      </c>
      <c r="F61" s="1249">
        <v>6262555.409</v>
      </c>
    </row>
    <row r="62" spans="1:6">
      <c r="A62" s="1248" t="s">
        <v>48</v>
      </c>
      <c r="B62" s="1248" t="s">
        <v>54</v>
      </c>
      <c r="C62" s="1249">
        <v>7</v>
      </c>
      <c r="D62" s="1249">
        <v>1118635.8503</v>
      </c>
      <c r="E62" s="1249">
        <v>7</v>
      </c>
      <c r="F62" s="1249">
        <v>125469.40304</v>
      </c>
    </row>
    <row r="63" spans="1:6">
      <c r="A63" s="1248" t="s">
        <v>48</v>
      </c>
      <c r="B63" s="1248" t="s">
        <v>28</v>
      </c>
      <c r="C63" s="1249">
        <v>80</v>
      </c>
      <c r="D63" s="1249">
        <v>10419029.503</v>
      </c>
      <c r="E63" s="1249">
        <v>80</v>
      </c>
      <c r="F63" s="1249">
        <v>6495241.1770000001</v>
      </c>
    </row>
    <row r="64" spans="1:6">
      <c r="A64" s="1248" t="s">
        <v>55</v>
      </c>
      <c r="B64" s="1248" t="s">
        <v>56</v>
      </c>
      <c r="C64" s="1249">
        <v>0</v>
      </c>
      <c r="D64" s="1249">
        <v>0</v>
      </c>
      <c r="E64" s="1249">
        <v>0</v>
      </c>
      <c r="F64" s="1249">
        <v>0</v>
      </c>
    </row>
    <row r="65" spans="1:6">
      <c r="A65" s="1248" t="s">
        <v>55</v>
      </c>
      <c r="B65" s="1248" t="s">
        <v>28</v>
      </c>
      <c r="C65" s="1249">
        <v>7</v>
      </c>
      <c r="D65" s="1249">
        <v>300711.35131</v>
      </c>
      <c r="E65" s="1249">
        <v>3</v>
      </c>
      <c r="F65" s="1249">
        <v>12150.053475999999</v>
      </c>
    </row>
    <row r="66" spans="1:6">
      <c r="A66" s="1248" t="s">
        <v>55</v>
      </c>
      <c r="B66" s="1248" t="s">
        <v>57</v>
      </c>
      <c r="C66" s="1249">
        <v>0</v>
      </c>
      <c r="D66" s="1249">
        <v>0</v>
      </c>
      <c r="E66" s="1249">
        <v>24</v>
      </c>
      <c r="F66" s="1249">
        <v>143177.46747999999</v>
      </c>
    </row>
    <row r="67" spans="1:6">
      <c r="A67" s="1248" t="s">
        <v>55</v>
      </c>
      <c r="B67" s="1248" t="s">
        <v>58</v>
      </c>
      <c r="C67" s="1249">
        <v>0</v>
      </c>
      <c r="D67" s="1249">
        <v>0</v>
      </c>
      <c r="E67" s="1249">
        <v>0</v>
      </c>
      <c r="F67" s="1249">
        <v>0</v>
      </c>
    </row>
    <row r="68" spans="1:6">
      <c r="A68" s="1243" t="s">
        <v>55</v>
      </c>
      <c r="B68" s="1243" t="s">
        <v>59</v>
      </c>
      <c r="C68" s="1251">
        <v>0</v>
      </c>
      <c r="D68" s="1251">
        <v>0</v>
      </c>
      <c r="E68" s="1251">
        <v>17</v>
      </c>
      <c r="F68" s="1251">
        <v>1554566.6668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27744439</v>
      </c>
      <c r="E73" s="439"/>
      <c r="F73" s="322"/>
    </row>
    <row r="74" spans="1:6">
      <c r="A74" s="1248" t="s">
        <v>63</v>
      </c>
      <c r="B74" s="1248" t="s">
        <v>626</v>
      </c>
      <c r="C74" s="1261" t="s">
        <v>628</v>
      </c>
      <c r="D74" s="1249">
        <v>2578893.5723005831</v>
      </c>
      <c r="E74" s="439"/>
      <c r="F74" s="322"/>
    </row>
    <row r="75" spans="1:6">
      <c r="A75" s="1248" t="s">
        <v>64</v>
      </c>
      <c r="B75" s="1248" t="s">
        <v>625</v>
      </c>
      <c r="C75" s="1261" t="s">
        <v>629</v>
      </c>
      <c r="D75" s="1249">
        <v>3106018</v>
      </c>
      <c r="E75" s="439"/>
      <c r="F75" s="322"/>
    </row>
    <row r="76" spans="1:6">
      <c r="A76" s="1248" t="s">
        <v>64</v>
      </c>
      <c r="B76" s="1248" t="s">
        <v>626</v>
      </c>
      <c r="C76" s="1261" t="s">
        <v>630</v>
      </c>
      <c r="D76" s="1249">
        <v>231931.57230058312</v>
      </c>
      <c r="E76" s="439"/>
      <c r="F76" s="322"/>
    </row>
    <row r="77" spans="1:6">
      <c r="A77" s="1248" t="s">
        <v>65</v>
      </c>
      <c r="B77" s="1248" t="s">
        <v>625</v>
      </c>
      <c r="C77" s="1261" t="s">
        <v>631</v>
      </c>
      <c r="D77" s="1249">
        <v>31041103</v>
      </c>
      <c r="E77" s="439"/>
      <c r="F77" s="322"/>
    </row>
    <row r="78" spans="1:6">
      <c r="A78" s="1243" t="s">
        <v>65</v>
      </c>
      <c r="B78" s="1243" t="s">
        <v>626</v>
      </c>
      <c r="C78" s="1243" t="s">
        <v>632</v>
      </c>
      <c r="D78" s="1251">
        <v>14410822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44864.855398833752</v>
      </c>
      <c r="C83" s="439"/>
      <c r="D83" s="322"/>
      <c r="E83" s="322"/>
      <c r="F83" s="322"/>
    </row>
    <row r="84" spans="1:6">
      <c r="A84" s="1243" t="s">
        <v>324</v>
      </c>
      <c r="B84" s="1251">
        <v>224685.1376802483</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1245.0190060955399</v>
      </c>
      <c r="C91" s="322"/>
      <c r="D91" s="322"/>
      <c r="E91" s="322"/>
      <c r="F91" s="322"/>
    </row>
    <row r="92" spans="1:6">
      <c r="A92" s="1243" t="s">
        <v>68</v>
      </c>
      <c r="B92" s="1244">
        <v>296.11665039406051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3072</v>
      </c>
      <c r="C97" s="322"/>
      <c r="D97" s="322"/>
      <c r="E97" s="322"/>
      <c r="F97" s="322"/>
    </row>
    <row r="98" spans="1:6">
      <c r="A98" s="1248" t="s">
        <v>71</v>
      </c>
      <c r="B98" s="1249">
        <v>3</v>
      </c>
      <c r="C98" s="322"/>
      <c r="D98" s="322"/>
      <c r="E98" s="322"/>
      <c r="F98" s="322"/>
    </row>
    <row r="99" spans="1:6">
      <c r="A99" s="1248" t="s">
        <v>72</v>
      </c>
      <c r="B99" s="1249">
        <v>28</v>
      </c>
      <c r="C99" s="322"/>
      <c r="D99" s="322"/>
      <c r="E99" s="322"/>
      <c r="F99" s="322"/>
    </row>
    <row r="100" spans="1:6">
      <c r="A100" s="1248" t="s">
        <v>73</v>
      </c>
      <c r="B100" s="1249">
        <v>564</v>
      </c>
      <c r="C100" s="322"/>
      <c r="D100" s="322"/>
      <c r="E100" s="322"/>
      <c r="F100" s="322"/>
    </row>
    <row r="101" spans="1:6">
      <c r="A101" s="1248" t="s">
        <v>74</v>
      </c>
      <c r="B101" s="1249">
        <v>30</v>
      </c>
      <c r="C101" s="322"/>
      <c r="D101" s="322"/>
      <c r="E101" s="322"/>
      <c r="F101" s="322"/>
    </row>
    <row r="102" spans="1:6">
      <c r="A102" s="1248" t="s">
        <v>75</v>
      </c>
      <c r="B102" s="1249">
        <v>111</v>
      </c>
      <c r="C102" s="322"/>
      <c r="D102" s="322"/>
      <c r="E102" s="322"/>
      <c r="F102" s="322"/>
    </row>
    <row r="103" spans="1:6">
      <c r="A103" s="1248" t="s">
        <v>76</v>
      </c>
      <c r="B103" s="1249">
        <v>65</v>
      </c>
      <c r="C103" s="322"/>
      <c r="D103" s="322"/>
      <c r="E103" s="322"/>
      <c r="F103" s="322"/>
    </row>
    <row r="104" spans="1:6">
      <c r="A104" s="1248" t="s">
        <v>77</v>
      </c>
      <c r="B104" s="1249">
        <v>657</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v>
      </c>
      <c r="C123" s="1249">
        <v>9</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73</v>
      </c>
      <c r="C129" s="322"/>
      <c r="D129" s="322"/>
      <c r="E129" s="322"/>
      <c r="F129" s="322"/>
    </row>
    <row r="130" spans="1:6">
      <c r="A130" s="1248" t="s">
        <v>284</v>
      </c>
      <c r="B130" s="1249">
        <v>5</v>
      </c>
      <c r="C130" s="322"/>
      <c r="D130" s="322"/>
      <c r="E130" s="322"/>
      <c r="F130" s="322"/>
    </row>
    <row r="131" spans="1:6">
      <c r="A131" s="1248" t="s">
        <v>285</v>
      </c>
      <c r="B131" s="1249">
        <v>0</v>
      </c>
      <c r="C131" s="322"/>
      <c r="D131" s="322"/>
      <c r="E131" s="322"/>
      <c r="F131" s="322"/>
    </row>
    <row r="132" spans="1:6">
      <c r="A132" s="1243" t="s">
        <v>286</v>
      </c>
      <c r="B132" s="1244">
        <v>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62693.655542192435</v>
      </c>
      <c r="C3" s="43" t="s">
        <v>163</v>
      </c>
      <c r="D3" s="43"/>
      <c r="E3" s="153"/>
      <c r="F3" s="43"/>
      <c r="G3" s="43"/>
      <c r="H3" s="43"/>
      <c r="I3" s="43"/>
      <c r="J3" s="43"/>
      <c r="K3" s="96"/>
    </row>
    <row r="4" spans="1:11">
      <c r="A4" s="348" t="s">
        <v>164</v>
      </c>
      <c r="B4" s="49">
        <f>IF(ISERROR('SEAP template'!B78+'SEAP template'!C78),0,'SEAP template'!B78+'SEAP template'!C78)</f>
        <v>1541.1356564896005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0.21556737723875449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1564.6669999999999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1564.6669999999999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0.21556737723875449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337.29116144203027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23394.036109735101</v>
      </c>
      <c r="C5" s="17">
        <f>IF(ISERROR('Eigen informatie GS &amp; warmtenet'!B57),0,'Eigen informatie GS &amp; warmtenet'!B57)</f>
        <v>0</v>
      </c>
      <c r="D5" s="30">
        <f>(SUM(HH_hh_gas_kWh,HH_rest_gas_kWh)/1000)*0.902</f>
        <v>55678.99974182764</v>
      </c>
      <c r="E5" s="17">
        <f>B32*B41</f>
        <v>0</v>
      </c>
      <c r="F5" s="17">
        <f>B36*B45</f>
        <v>0</v>
      </c>
      <c r="G5" s="18"/>
      <c r="H5" s="17"/>
      <c r="I5" s="17"/>
      <c r="J5" s="17">
        <f>B35*B44+C35*C44</f>
        <v>0</v>
      </c>
      <c r="K5" s="17"/>
      <c r="L5" s="17"/>
      <c r="M5" s="17"/>
      <c r="N5" s="17">
        <f>B34*B43+C34*C43</f>
        <v>6260.4166541099958</v>
      </c>
      <c r="O5" s="17">
        <f>B52*B53*B54</f>
        <v>128.19333333333336</v>
      </c>
      <c r="P5" s="17">
        <f>B60*B61*B62/1000-B60*B61*B62/1000/B63</f>
        <v>152.53333333333333</v>
      </c>
    </row>
    <row r="6" spans="1:16">
      <c r="A6" s="16" t="s">
        <v>586</v>
      </c>
      <c r="B6" s="716">
        <f>kWh_PV_kleiner_dan_10kW</f>
        <v>1245.0190060955399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24639.055115830641</v>
      </c>
      <c r="C8" s="21">
        <f>C5</f>
        <v>0</v>
      </c>
      <c r="D8" s="21">
        <f>D5</f>
        <v>55678.99974182764</v>
      </c>
      <c r="E8" s="21">
        <f>E5</f>
        <v>0</v>
      </c>
      <c r="F8" s="21">
        <f>F5</f>
        <v>0</v>
      </c>
      <c r="G8" s="21"/>
      <c r="H8" s="21"/>
      <c r="I8" s="21"/>
      <c r="J8" s="21">
        <f>J5</f>
        <v>0</v>
      </c>
      <c r="K8" s="21"/>
      <c r="L8" s="21">
        <f>L5</f>
        <v>0</v>
      </c>
      <c r="M8" s="21">
        <f>M5</f>
        <v>0</v>
      </c>
      <c r="N8" s="21">
        <f>N5</f>
        <v>6260.4166541099958</v>
      </c>
      <c r="O8" s="21">
        <f>O5</f>
        <v>128.19333333333336</v>
      </c>
      <c r="P8" s="21">
        <f>P5</f>
        <v>152.53333333333333</v>
      </c>
    </row>
    <row r="9" spans="1:16">
      <c r="B9" s="19"/>
      <c r="C9" s="19"/>
      <c r="D9" s="253"/>
      <c r="E9" s="19"/>
      <c r="F9" s="19"/>
      <c r="G9" s="19"/>
      <c r="H9" s="19"/>
      <c r="I9" s="19"/>
      <c r="J9" s="19"/>
      <c r="K9" s="19"/>
      <c r="L9" s="19"/>
      <c r="M9" s="19"/>
      <c r="N9" s="19"/>
      <c r="O9" s="19"/>
      <c r="P9" s="19"/>
    </row>
    <row r="10" spans="1:16">
      <c r="A10" s="24" t="s">
        <v>207</v>
      </c>
      <c r="B10" s="25">
        <f ca="1">'EF ele_warmte'!B12</f>
        <v>0.21556737723875449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5311.3764889607273</v>
      </c>
      <c r="C12" s="23">
        <f ca="1">C10*C8</f>
        <v>0</v>
      </c>
      <c r="D12" s="23">
        <f>D8*D10</f>
        <v>11247.157947849184</v>
      </c>
      <c r="E12" s="23">
        <f>E10*E8</f>
        <v>0</v>
      </c>
      <c r="F12" s="23">
        <f>F10*F8</f>
        <v>0</v>
      </c>
      <c r="G12" s="23"/>
      <c r="H12" s="23"/>
      <c r="I12" s="23"/>
      <c r="J12" s="23">
        <f>J10*J8</f>
        <v>0</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5480</v>
      </c>
      <c r="C26" s="36"/>
      <c r="D26" s="224"/>
    </row>
    <row r="27" spans="1:5" s="15" customFormat="1">
      <c r="A27" s="226" t="s">
        <v>655</v>
      </c>
      <c r="B27" s="37">
        <f>SUM(HH_hh_gas_aantal,HH_rest_gas_aantal)</f>
        <v>5956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5658.2</v>
      </c>
      <c r="C31" s="34" t="s">
        <v>104</v>
      </c>
      <c r="D31" s="170"/>
    </row>
    <row r="32" spans="1:5">
      <c r="A32" s="167" t="s">
        <v>72</v>
      </c>
      <c r="B32" s="33">
        <f>IF((B21*($B$26-($B$27-0.05*$B$27)-$B$60))&lt;0,0,B21*($B$26-($B$27-0.05*$B$27)-$B$60))</f>
        <v>0</v>
      </c>
      <c r="C32" s="34" t="s">
        <v>104</v>
      </c>
      <c r="D32" s="170"/>
    </row>
    <row r="33" spans="1:6">
      <c r="A33" s="167" t="s">
        <v>73</v>
      </c>
      <c r="B33" s="33">
        <f>IF((B22*($B$26-($B$27-0.05*$B$27)-$B$60))&lt;0,0,B22*($B$26-($B$27-0.05*$B$27)-$B$60))</f>
        <v>0</v>
      </c>
      <c r="C33" s="34" t="s">
        <v>104</v>
      </c>
      <c r="D33" s="170"/>
    </row>
    <row r="34" spans="1:6">
      <c r="A34" s="167" t="s">
        <v>74</v>
      </c>
      <c r="B34" s="33">
        <f>IF((B24*($B$26-($B$27-0.05*$B$27)-$B$60))&lt;0,0,B24*($B$26-($B$27-0.05*$B$27)-$B$60))</f>
        <v>0</v>
      </c>
      <c r="C34" s="33">
        <f>B26*C24</f>
        <v>1121.5496253846864</v>
      </c>
      <c r="D34" s="229"/>
    </row>
    <row r="35" spans="1:6">
      <c r="A35" s="167" t="s">
        <v>76</v>
      </c>
      <c r="B35" s="33">
        <f>IF((B19*($B$26-($B$27-0.05*$B$27)-$B$60))&lt;0,0,B19*($B$26-($B$27-0.05*$B$27)-$B$60))</f>
        <v>0</v>
      </c>
      <c r="C35" s="33">
        <f>B35/2</f>
        <v>0</v>
      </c>
      <c r="D35" s="229"/>
    </row>
    <row r="36" spans="1:6">
      <c r="A36" s="167" t="s">
        <v>77</v>
      </c>
      <c r="B36" s="33">
        <f>IF((B18*($B$26-($B$27-0.05*$B$27)-$B$60))&lt;0,0,B18*($B$26-($B$27-0.05*$B$27)-$B$60))</f>
        <v>0</v>
      </c>
      <c r="C36" s="34" t="s">
        <v>104</v>
      </c>
      <c r="D36" s="170"/>
    </row>
    <row r="37" spans="1:6">
      <c r="A37" s="167" t="s">
        <v>78</v>
      </c>
      <c r="B37" s="33">
        <f>B60</f>
        <v>8</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82</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8</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27612.254299189997</v>
      </c>
      <c r="C5" s="17">
        <f>IF(ISERROR('Eigen informatie GS &amp; warmtenet'!B58),0,'Eigen informatie GS &amp; warmtenet'!B58)</f>
        <v>0</v>
      </c>
      <c r="D5" s="30">
        <f>SUM(D6:D12)</f>
        <v>30631.620604028842</v>
      </c>
      <c r="E5" s="17">
        <f>SUM(E6:E12)</f>
        <v>395.80729227850952</v>
      </c>
      <c r="F5" s="17">
        <f>SUM(F6:F12)</f>
        <v>5633.8588686826442</v>
      </c>
      <c r="G5" s="18"/>
      <c r="H5" s="17"/>
      <c r="I5" s="17"/>
      <c r="J5" s="17">
        <f>SUM(J6:J12)</f>
        <v>4.049005666599869E-2</v>
      </c>
      <c r="K5" s="17"/>
      <c r="L5" s="17"/>
      <c r="M5" s="17"/>
      <c r="N5" s="17">
        <f>SUM(N6:N12)</f>
        <v>1438.5562826929367</v>
      </c>
      <c r="O5" s="17">
        <f>B38*B39*B40</f>
        <v>7.8166666666666664</v>
      </c>
      <c r="P5" s="17">
        <f>B46*B47*B48/1000-B46*B47*B48/1000/B49</f>
        <v>0</v>
      </c>
      <c r="R5" s="32"/>
    </row>
    <row r="6" spans="1:18">
      <c r="A6" s="32" t="s">
        <v>53</v>
      </c>
      <c r="B6" s="37">
        <f>B26</f>
        <v>6262.5554089999996</v>
      </c>
      <c r="C6" s="33"/>
      <c r="D6" s="37">
        <f>IF(ISERROR(TER_kantoor_gas_kWh/1000),0,TER_kantoor_gas_kWh/1000)*0.902</f>
        <v>6868.9039679281996</v>
      </c>
      <c r="E6" s="33">
        <f>$C$26*'E Balans VL '!I12/100/3.6*1000000</f>
        <v>3.5653766664204726E-18</v>
      </c>
      <c r="F6" s="33">
        <f>$C$26*('E Balans VL '!L12+'E Balans VL '!N12)/100/3.6*1000000</f>
        <v>846.59430203785735</v>
      </c>
      <c r="G6" s="34"/>
      <c r="H6" s="33"/>
      <c r="I6" s="33"/>
      <c r="J6" s="33">
        <f>$C$26*('E Balans VL '!D12+'E Balans VL '!E12)/100/3.6*1000000</f>
        <v>0</v>
      </c>
      <c r="K6" s="33"/>
      <c r="L6" s="33"/>
      <c r="M6" s="33"/>
      <c r="N6" s="33">
        <f>$C$26*'E Balans VL '!Y12/100/3.6*1000000</f>
        <v>7.8707596533406425</v>
      </c>
      <c r="O6" s="33"/>
      <c r="P6" s="33"/>
      <c r="R6" s="32"/>
    </row>
    <row r="7" spans="1:18">
      <c r="A7" s="32" t="s">
        <v>52</v>
      </c>
      <c r="B7" s="37">
        <f t="shared" ref="B7:B12" si="0">B27</f>
        <v>6409.8555268999999</v>
      </c>
      <c r="C7" s="33"/>
      <c r="D7" s="37">
        <f>IF(ISERROR(TER_horeca_gas_kWh/1000),0,TER_horeca_gas_kWh/1000)*0.902</f>
        <v>8778.1924480382004</v>
      </c>
      <c r="E7" s="33">
        <f>$C$27*'E Balans VL '!I9/100/3.6*1000000</f>
        <v>81.866897905758265</v>
      </c>
      <c r="F7" s="33">
        <f>$C$27*('E Balans VL '!L9+'E Balans VL '!N9)/100/3.6*1000000</f>
        <v>723.9643811892621</v>
      </c>
      <c r="G7" s="34"/>
      <c r="H7" s="33"/>
      <c r="I7" s="33"/>
      <c r="J7" s="33">
        <f>$C$27*('E Balans VL '!D9+'E Balans VL '!E9)/100/3.6*1000000</f>
        <v>0</v>
      </c>
      <c r="K7" s="33"/>
      <c r="L7" s="33"/>
      <c r="M7" s="33"/>
      <c r="N7" s="33">
        <f>$C$27*'E Balans VL '!Y9/100/3.6*1000000</f>
        <v>1.5274957803678513</v>
      </c>
      <c r="O7" s="33"/>
      <c r="P7" s="33"/>
      <c r="R7" s="32"/>
    </row>
    <row r="8" spans="1:18">
      <c r="A8" s="6" t="s">
        <v>51</v>
      </c>
      <c r="B8" s="37">
        <f t="shared" si="0"/>
        <v>6013.1249551999999</v>
      </c>
      <c r="C8" s="33"/>
      <c r="D8" s="37">
        <f>IF(ISERROR(TER_handel_gas_kWh/1000),0,TER_handel_gas_kWh/1000)*0.902</f>
        <v>3121.2305308184</v>
      </c>
      <c r="E8" s="33">
        <f>$C$28*'E Balans VL '!I13/100/3.6*1000000</f>
        <v>196.37890104993153</v>
      </c>
      <c r="F8" s="33">
        <f>$C$28*('E Balans VL '!L13+'E Balans VL '!N13)/100/3.6*1000000</f>
        <v>1041.1237283862665</v>
      </c>
      <c r="G8" s="34"/>
      <c r="H8" s="33"/>
      <c r="I8" s="33"/>
      <c r="J8" s="33">
        <f>$C$28*('E Balans VL '!D13+'E Balans VL '!E13)/100/3.6*1000000</f>
        <v>0</v>
      </c>
      <c r="K8" s="33"/>
      <c r="L8" s="33"/>
      <c r="M8" s="33"/>
      <c r="N8" s="33">
        <f>$C$28*'E Balans VL '!Y13/100/3.6*1000000</f>
        <v>7.0772812692977114</v>
      </c>
      <c r="O8" s="33"/>
      <c r="P8" s="33"/>
      <c r="R8" s="32"/>
    </row>
    <row r="9" spans="1:18">
      <c r="A9" s="32" t="s">
        <v>50</v>
      </c>
      <c r="B9" s="37">
        <f t="shared" si="0"/>
        <v>137.47973005</v>
      </c>
      <c r="C9" s="33"/>
      <c r="D9" s="37">
        <f>IF(ISERROR(TER_gezond_gas_kWh/1000),0,TER_gezond_gas_kWh/1000)*0.902</f>
        <v>150.75103938884001</v>
      </c>
      <c r="E9" s="33">
        <f>$C$29*'E Balans VL '!I10/100/3.6*1000000</f>
        <v>7.6772135692452443E-3</v>
      </c>
      <c r="F9" s="33">
        <f>$C$29*('E Balans VL '!L10+'E Balans VL '!N10)/100/3.6*1000000</f>
        <v>18.21555278766597</v>
      </c>
      <c r="G9" s="34"/>
      <c r="H9" s="33"/>
      <c r="I9" s="33"/>
      <c r="J9" s="33">
        <f>$C$29*('E Balans VL '!D10+'E Balans VL '!E10)/100/3.6*1000000</f>
        <v>0</v>
      </c>
      <c r="K9" s="33"/>
      <c r="L9" s="33"/>
      <c r="M9" s="33"/>
      <c r="N9" s="33">
        <f>$C$29*'E Balans VL '!Y10/100/3.6*1000000</f>
        <v>1.457192734101739</v>
      </c>
      <c r="O9" s="33"/>
      <c r="P9" s="33"/>
      <c r="R9" s="32"/>
    </row>
    <row r="10" spans="1:18">
      <c r="A10" s="32" t="s">
        <v>49</v>
      </c>
      <c r="B10" s="37">
        <f t="shared" si="0"/>
        <v>2168.5280980000002</v>
      </c>
      <c r="C10" s="33"/>
      <c r="D10" s="37">
        <f>IF(ISERROR(TER_ander_gas_kWh/1000),0,TER_ander_gas_kWh/1000)*0.902</f>
        <v>1305.5684691786</v>
      </c>
      <c r="E10" s="33">
        <f>$C$30*'E Balans VL '!I14/100/3.6*1000000</f>
        <v>28.003125378719616</v>
      </c>
      <c r="F10" s="33">
        <f>$C$30*('E Balans VL '!L14+'E Balans VL '!N14)/100/3.6*1000000</f>
        <v>1431.3832195469672</v>
      </c>
      <c r="G10" s="34"/>
      <c r="H10" s="33"/>
      <c r="I10" s="33"/>
      <c r="J10" s="33">
        <f>$C$30*('E Balans VL '!D14+'E Balans VL '!E14)/100/3.6*1000000</f>
        <v>2.627001420359518E-2</v>
      </c>
      <c r="K10" s="33"/>
      <c r="L10" s="33"/>
      <c r="M10" s="33"/>
      <c r="N10" s="33">
        <f>$C$30*'E Balans VL '!Y14/100/3.6*1000000</f>
        <v>914.45946961595087</v>
      </c>
      <c r="O10" s="33"/>
      <c r="P10" s="33"/>
      <c r="R10" s="32"/>
    </row>
    <row r="11" spans="1:18">
      <c r="A11" s="32" t="s">
        <v>54</v>
      </c>
      <c r="B11" s="37">
        <f t="shared" si="0"/>
        <v>125.46940304</v>
      </c>
      <c r="C11" s="33"/>
      <c r="D11" s="37">
        <f>IF(ISERROR(TER_onderwijs_gas_kWh/1000),0,TER_onderwijs_gas_kWh/1000)*0.902</f>
        <v>1009.0095369706002</v>
      </c>
      <c r="E11" s="33">
        <f>$C$31*'E Balans VL '!I11/100/3.6*1000000</f>
        <v>1.6885069055919242</v>
      </c>
      <c r="F11" s="33">
        <f>$C$31*('E Balans VL '!L11+'E Balans VL '!N11)/100/3.6*1000000</f>
        <v>19.608016320304149</v>
      </c>
      <c r="G11" s="34"/>
      <c r="H11" s="33"/>
      <c r="I11" s="33"/>
      <c r="J11" s="33">
        <f>$C$31*('E Balans VL '!D11+'E Balans VL '!E11)/100/3.6*1000000</f>
        <v>0</v>
      </c>
      <c r="K11" s="33"/>
      <c r="L11" s="33"/>
      <c r="M11" s="33"/>
      <c r="N11" s="33">
        <f>$C$31*'E Balans VL '!Y11/100/3.6*1000000</f>
        <v>0.28971479703041103</v>
      </c>
      <c r="O11" s="33"/>
      <c r="P11" s="33"/>
      <c r="R11" s="32"/>
    </row>
    <row r="12" spans="1:18">
      <c r="A12" s="32" t="s">
        <v>249</v>
      </c>
      <c r="B12" s="37">
        <f t="shared" si="0"/>
        <v>6495.2411769999999</v>
      </c>
      <c r="C12" s="33"/>
      <c r="D12" s="37">
        <f>IF(ISERROR(TER_rest_gas_kWh/1000),0,TER_rest_gas_kWh/1000)*0.902</f>
        <v>9397.9646117060001</v>
      </c>
      <c r="E12" s="33">
        <f>$C$32*'E Balans VL '!I8/100/3.6*1000000</f>
        <v>87.862183824938924</v>
      </c>
      <c r="F12" s="33">
        <f>$C$32*('E Balans VL '!L8+'E Balans VL '!N8)/100/3.6*1000000</f>
        <v>1552.9696684143205</v>
      </c>
      <c r="G12" s="34"/>
      <c r="H12" s="33"/>
      <c r="I12" s="33"/>
      <c r="J12" s="33">
        <f>$C$32*('E Balans VL '!D8+'E Balans VL '!E8)/100/3.6*1000000</f>
        <v>1.4220042462403508E-2</v>
      </c>
      <c r="K12" s="33"/>
      <c r="L12" s="33"/>
      <c r="M12" s="33"/>
      <c r="N12" s="33">
        <f>$C$32*'E Balans VL '!Y8/100/3.6*1000000</f>
        <v>505.87436884284756</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27612.254299189997</v>
      </c>
      <c r="C16" s="21">
        <f t="shared" ca="1" si="1"/>
        <v>0</v>
      </c>
      <c r="D16" s="21">
        <f t="shared" ca="1" si="1"/>
        <v>30631.620604028842</v>
      </c>
      <c r="E16" s="21">
        <f t="shared" si="1"/>
        <v>395.80729227850952</v>
      </c>
      <c r="F16" s="21">
        <f t="shared" ca="1" si="1"/>
        <v>5633.8588686826442</v>
      </c>
      <c r="G16" s="21">
        <f t="shared" si="1"/>
        <v>0</v>
      </c>
      <c r="H16" s="21">
        <f t="shared" si="1"/>
        <v>0</v>
      </c>
      <c r="I16" s="21">
        <f t="shared" si="1"/>
        <v>0</v>
      </c>
      <c r="J16" s="21">
        <f t="shared" si="1"/>
        <v>4.049005666599869E-2</v>
      </c>
      <c r="K16" s="21">
        <f t="shared" si="1"/>
        <v>0</v>
      </c>
      <c r="L16" s="21">
        <f t="shared" ca="1" si="1"/>
        <v>0</v>
      </c>
      <c r="M16" s="21">
        <f t="shared" si="1"/>
        <v>0</v>
      </c>
      <c r="N16" s="21">
        <f t="shared" ca="1" si="1"/>
        <v>1438.5562826929367</v>
      </c>
      <c r="O16" s="21">
        <f>O5</f>
        <v>7.8166666666666664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0.21556737723875449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5952.3012389259111</v>
      </c>
      <c r="C20" s="23">
        <f t="shared" ref="C20:P20" ca="1" si="2">C16*C18</f>
        <v>0</v>
      </c>
      <c r="D20" s="23">
        <f t="shared" ca="1" si="2"/>
        <v>6187.5873620138264</v>
      </c>
      <c r="E20" s="23">
        <f t="shared" si="2"/>
        <v>89.848255347221667</v>
      </c>
      <c r="F20" s="23">
        <f t="shared" ca="1" si="2"/>
        <v>1504.2403179382661</v>
      </c>
      <c r="G20" s="23">
        <f t="shared" si="2"/>
        <v>0</v>
      </c>
      <c r="H20" s="23">
        <f t="shared" si="2"/>
        <v>0</v>
      </c>
      <c r="I20" s="23">
        <f t="shared" si="2"/>
        <v>0</v>
      </c>
      <c r="J20" s="23">
        <f t="shared" si="2"/>
        <v>1.4333480059763535E-2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6262.5554089999996</v>
      </c>
      <c r="C26" s="39">
        <f>IF(ISERROR(B26*3.6/1000000/'E Balans VL '!Z12*100),0,B26*3.6/1000000/'E Balans VL '!Z12*100)</f>
        <v>0.16803194774586233</v>
      </c>
      <c r="D26" s="232" t="s">
        <v>621</v>
      </c>
      <c r="F26" s="6"/>
    </row>
    <row r="27" spans="1:18">
      <c r="A27" s="227" t="s">
        <v>52</v>
      </c>
      <c r="B27" s="33">
        <f>IF(ISERROR(TER_horeca_ele_kWh/1000),0,TER_horeca_ele_kWh/1000)</f>
        <v>6409.8555268999999</v>
      </c>
      <c r="C27" s="39">
        <f>IF(ISERROR(B27*3.6/1000000/'E Balans VL '!Z9*100),0,B27*3.6/1000000/'E Balans VL '!Z9*100)</f>
        <v>0.5092182475817667</v>
      </c>
      <c r="D27" s="232" t="s">
        <v>621</v>
      </c>
      <c r="F27" s="6"/>
    </row>
    <row r="28" spans="1:18">
      <c r="A28" s="167" t="s">
        <v>51</v>
      </c>
      <c r="B28" s="33">
        <f>IF(ISERROR(TER_handel_ele_kWh/1000),0,TER_handel_ele_kWh/1000)</f>
        <v>6013.1249551999999</v>
      </c>
      <c r="C28" s="39">
        <f>IF(ISERROR(B28*3.6/1000000/'E Balans VL '!Z13*100),0,B28*3.6/1000000/'E Balans VL '!Z13*100)</f>
        <v>0.17588319383399012</v>
      </c>
      <c r="D28" s="232" t="s">
        <v>621</v>
      </c>
      <c r="F28" s="6"/>
    </row>
    <row r="29" spans="1:18">
      <c r="A29" s="227" t="s">
        <v>50</v>
      </c>
      <c r="B29" s="33">
        <f>IF(ISERROR(TER_gezond_ele_kWh/1000),0,TER_gezond_ele_kWh/1000)</f>
        <v>137.47973005</v>
      </c>
      <c r="C29" s="39">
        <f>IF(ISERROR(B29*3.6/1000000/'E Balans VL '!Z10*100),0,B29*3.6/1000000/'E Balans VL '!Z10*100)</f>
        <v>1.4591535771042868E-2</v>
      </c>
      <c r="D29" s="232" t="s">
        <v>621</v>
      </c>
      <c r="F29" s="6"/>
    </row>
    <row r="30" spans="1:18">
      <c r="A30" s="227" t="s">
        <v>49</v>
      </c>
      <c r="B30" s="33">
        <f>IF(ISERROR(TER_ander_ele_kWh/1000),0,TER_ander_ele_kWh/1000)</f>
        <v>2168.5280980000002</v>
      </c>
      <c r="C30" s="39">
        <f>IF(ISERROR(B30*3.6/1000000/'E Balans VL '!Z14*100),0,B30*3.6/1000000/'E Balans VL '!Z14*100)</f>
        <v>0.10086609549161971</v>
      </c>
      <c r="D30" s="232" t="s">
        <v>621</v>
      </c>
      <c r="F30" s="6"/>
    </row>
    <row r="31" spans="1:18">
      <c r="A31" s="227" t="s">
        <v>54</v>
      </c>
      <c r="B31" s="33">
        <f>IF(ISERROR(TER_onderwijs_ele_kWh/1000),0,TER_onderwijs_ele_kWh/1000)</f>
        <v>125.46940304</v>
      </c>
      <c r="C31" s="39">
        <f>IF(ISERROR(B31*3.6/1000000/'E Balans VL '!Z11*100),0,B31*3.6/1000000/'E Balans VL '!Z11*100)</f>
        <v>3.1402391138381801E-2</v>
      </c>
      <c r="D31" s="232" t="s">
        <v>621</v>
      </c>
    </row>
    <row r="32" spans="1:18">
      <c r="A32" s="227" t="s">
        <v>249</v>
      </c>
      <c r="B32" s="33">
        <f>IF(ISERROR(TER_rest_ele_kWh/1000),0,TER_rest_ele_kWh/1000)</f>
        <v>6495.2411769999999</v>
      </c>
      <c r="C32" s="39">
        <f>IF(ISERROR(B32*3.6/1000000/'E Balans VL '!Z8*100),0,B32*3.6/1000000/'E Balans VL '!Z8*100)</f>
        <v>5.4599139147453735E-2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1626.8150029099997</v>
      </c>
      <c r="C5" s="17">
        <f>IF(ISERROR('Eigen informatie GS &amp; warmtenet'!B59),0,'Eigen informatie GS &amp; warmtenet'!B59)</f>
        <v>0</v>
      </c>
      <c r="D5" s="30">
        <f>SUM(D6:D15)</f>
        <v>1965.4418625579319</v>
      </c>
      <c r="E5" s="17">
        <f>SUM(E6:E15)</f>
        <v>224.19160724416957</v>
      </c>
      <c r="F5" s="17">
        <f>SUM(F6:F15)</f>
        <v>848.15705555242198</v>
      </c>
      <c r="G5" s="18"/>
      <c r="H5" s="17"/>
      <c r="I5" s="17"/>
      <c r="J5" s="17">
        <f>SUM(J6:J15)</f>
        <v>4.1206229909790322</v>
      </c>
      <c r="K5" s="17"/>
      <c r="L5" s="17"/>
      <c r="M5" s="17"/>
      <c r="N5" s="17">
        <f>SUM(N6:N15)</f>
        <v>197.33377956610565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108.93102784</v>
      </c>
      <c r="C8" s="33"/>
      <c r="D8" s="37">
        <f>IF( ISERROR(IND_metaal_Gas_kWH/1000),0,IND_metaal_Gas_kWH/1000)*0.902</f>
        <v>54.333574004951998</v>
      </c>
      <c r="E8" s="33">
        <f>C30*'E Balans VL '!I18/100/3.6*1000000</f>
        <v>3.9196679203811864</v>
      </c>
      <c r="F8" s="33">
        <f>C30*'E Balans VL '!L18/100/3.6*1000000+C30*'E Balans VL '!N18/100/3.6*1000000</f>
        <v>47.566648693722904</v>
      </c>
      <c r="G8" s="34"/>
      <c r="H8" s="33"/>
      <c r="I8" s="33"/>
      <c r="J8" s="40">
        <f>C30*'E Balans VL '!D18/100/3.6*1000000+C30*'E Balans VL '!E18/100/3.6*1000000</f>
        <v>0</v>
      </c>
      <c r="K8" s="33"/>
      <c r="L8" s="33"/>
      <c r="M8" s="33"/>
      <c r="N8" s="33">
        <f>C30*'E Balans VL '!Y18/100/3.6*1000000</f>
        <v>5.4595490888635663</v>
      </c>
      <c r="O8" s="33"/>
      <c r="P8" s="33"/>
      <c r="R8" s="32"/>
    </row>
    <row r="9" spans="1:18">
      <c r="A9" s="6" t="s">
        <v>32</v>
      </c>
      <c r="B9" s="37">
        <f t="shared" si="0"/>
        <v>726.94865046999996</v>
      </c>
      <c r="C9" s="33"/>
      <c r="D9" s="37">
        <f>IF( ISERROR(IND_andere_gas_kWh/1000),0,IND_andere_gas_kWh/1000)*0.902</f>
        <v>1104.7838425800001</v>
      </c>
      <c r="E9" s="33">
        <f>C31*'E Balans VL '!I19/100/3.6*1000000</f>
        <v>185.50084792604491</v>
      </c>
      <c r="F9" s="33">
        <f>C31*'E Balans VL '!L19/100/3.6*1000000+C31*'E Balans VL '!N19/100/3.6*1000000</f>
        <v>625.84814846989605</v>
      </c>
      <c r="G9" s="34"/>
      <c r="H9" s="33"/>
      <c r="I9" s="33"/>
      <c r="J9" s="40">
        <f>C31*'E Balans VL '!D19/100/3.6*1000000+C31*'E Balans VL '!E19/100/3.6*1000000</f>
        <v>0</v>
      </c>
      <c r="K9" s="33"/>
      <c r="L9" s="33"/>
      <c r="M9" s="33"/>
      <c r="N9" s="33">
        <f>C31*'E Balans VL '!Y19/100/3.6*1000000</f>
        <v>57.347741975210418</v>
      </c>
      <c r="O9" s="33"/>
      <c r="P9" s="33"/>
      <c r="R9" s="32"/>
    </row>
    <row r="10" spans="1:18">
      <c r="A10" s="6" t="s">
        <v>40</v>
      </c>
      <c r="B10" s="37">
        <f t="shared" si="0"/>
        <v>282.66293536000001</v>
      </c>
      <c r="C10" s="33"/>
      <c r="D10" s="37">
        <f>IF( ISERROR(IND_voed_gas_kWh/1000),0,IND_voed_gas_kWh/1000)*0.902</f>
        <v>534.57572387031996</v>
      </c>
      <c r="E10" s="33">
        <f>C32*'E Balans VL '!I20/100/3.6*1000000</f>
        <v>7.1856799448678839</v>
      </c>
      <c r="F10" s="33">
        <f>C32*'E Balans VL '!L20/100/3.6*1000000+C32*'E Balans VL '!N20/100/3.6*1000000</f>
        <v>63.962379135379912</v>
      </c>
      <c r="G10" s="34"/>
      <c r="H10" s="33"/>
      <c r="I10" s="33"/>
      <c r="J10" s="40">
        <f>C32*'E Balans VL '!D20/100/3.6*1000000+C32*'E Balans VL '!E20/100/3.6*1000000</f>
        <v>0</v>
      </c>
      <c r="K10" s="33"/>
      <c r="L10" s="33"/>
      <c r="M10" s="33"/>
      <c r="N10" s="33">
        <f>C32*'E Balans VL '!Y20/100/3.6*1000000</f>
        <v>106.00626264023271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508.27238924</v>
      </c>
      <c r="C15" s="33"/>
      <c r="D15" s="37">
        <f>IF( ISERROR(IND_rest_gas_kWh/1000),0,IND_rest_gas_kWh/1000)*0.902</f>
        <v>271.74872210266</v>
      </c>
      <c r="E15" s="33">
        <f>C37*'E Balans VL '!I15/100/3.6*1000000</f>
        <v>27.585411452875594</v>
      </c>
      <c r="F15" s="33">
        <f>C37*'E Balans VL '!L15/100/3.6*1000000+C37*'E Balans VL '!N15/100/3.6*1000000</f>
        <v>110.77987925342316</v>
      </c>
      <c r="G15" s="34"/>
      <c r="H15" s="33"/>
      <c r="I15" s="33"/>
      <c r="J15" s="40">
        <f>C37*'E Balans VL '!D15/100/3.6*1000000+C37*'E Balans VL '!E15/100/3.6*1000000</f>
        <v>4.1206229909790322</v>
      </c>
      <c r="K15" s="33"/>
      <c r="L15" s="33"/>
      <c r="M15" s="33"/>
      <c r="N15" s="33">
        <f>C37*'E Balans VL '!Y15/100/3.6*1000000</f>
        <v>28.52022586179897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1626.8150029099997</v>
      </c>
      <c r="C18" s="21">
        <f>C5+C16</f>
        <v>0</v>
      </c>
      <c r="D18" s="21">
        <f>MAX((D5+D16),0)</f>
        <v>1965.4418625579319</v>
      </c>
      <c r="E18" s="21">
        <f>MAX((E5+E16),0)</f>
        <v>224.19160724416957</v>
      </c>
      <c r="F18" s="21">
        <f>MAX((F5+F16),0)</f>
        <v>848.15705555242198</v>
      </c>
      <c r="G18" s="21"/>
      <c r="H18" s="21"/>
      <c r="I18" s="21"/>
      <c r="J18" s="21">
        <f>MAX((J5+J16),0)</f>
        <v>4.1206229909790322</v>
      </c>
      <c r="K18" s="21"/>
      <c r="L18" s="21">
        <f>MAX((L5+L16),0)</f>
        <v>0</v>
      </c>
      <c r="M18" s="21"/>
      <c r="N18" s="21">
        <f>MAX((N5+N16),0)</f>
        <v>197.33377956610565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0.21556737723875449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350.68824342996538</v>
      </c>
      <c r="C22" s="23">
        <f ca="1">C18*C20</f>
        <v>0</v>
      </c>
      <c r="D22" s="23">
        <f>D18*D20</f>
        <v>397.01925623670229</v>
      </c>
      <c r="E22" s="23">
        <f>E18*E20</f>
        <v>50.891494844426497</v>
      </c>
      <c r="F22" s="23">
        <f>F18*F20</f>
        <v>226.45793383249668</v>
      </c>
      <c r="G22" s="23"/>
      <c r="H22" s="23"/>
      <c r="I22" s="23"/>
      <c r="J22" s="23">
        <f>J18*J20</f>
        <v>1.4587005388065772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108.93102784</v>
      </c>
      <c r="C30" s="39">
        <f>IF(ISERROR(B30*3.6/1000000/'E Balans VL '!Z18*100),0,B30*3.6/1000000/'E Balans VL '!Z18*100)</f>
        <v>2.3080149379610362E-2</v>
      </c>
      <c r="D30" s="232" t="s">
        <v>621</v>
      </c>
    </row>
    <row r="31" spans="1:18">
      <c r="A31" s="6" t="s">
        <v>32</v>
      </c>
      <c r="B31" s="37">
        <f>IF( ISERROR(IND_ander_ele_kWh/1000),0,IND_ander_ele_kWh/1000)</f>
        <v>726.94865046999996</v>
      </c>
      <c r="C31" s="39">
        <f>IF(ISERROR(B31*3.6/1000000/'E Balans VL '!Z19*100),0,B31*3.6/1000000/'E Balans VL '!Z19*100)</f>
        <v>3.059891935523873E-2</v>
      </c>
      <c r="D31" s="232" t="s">
        <v>621</v>
      </c>
    </row>
    <row r="32" spans="1:18">
      <c r="A32" s="167" t="s">
        <v>40</v>
      </c>
      <c r="B32" s="37">
        <f>IF( ISERROR(IND_voed_ele_kWh/1000),0,IND_voed_ele_kWh/1000)</f>
        <v>282.66293536000001</v>
      </c>
      <c r="C32" s="39">
        <f>IF(ISERROR(B32*3.6/1000000/'E Balans VL '!Z20*100),0,B32*3.6/1000000/'E Balans VL '!Z20*100)</f>
        <v>4.7222041463046149E-2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508.27238924</v>
      </c>
      <c r="C37" s="39">
        <f>IF(ISERROR(B37*3.6/1000000/'E Balans VL '!Z15*100),0,B37*3.6/1000000/'E Balans VL '!Z15*100)</f>
        <v>4.1034798104242686E-3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416.85627600300006</v>
      </c>
      <c r="C5" s="17">
        <f>'Eigen informatie GS &amp; warmtenet'!B60</f>
        <v>0</v>
      </c>
      <c r="D5" s="30">
        <f>IF(ISERROR(SUM(LB_lb_gas_kWh,LB_rest_gas_kWh)/1000),0,SUM(LB_lb_gas_kWh,LB_rest_gas_kWh)/1000)*0.902</f>
        <v>43.054365182752001</v>
      </c>
      <c r="E5" s="17">
        <f>B17*'E Balans VL '!I25/3.6*1000000/100</f>
        <v>8.2582813270778406</v>
      </c>
      <c r="F5" s="17">
        <f>B17*('E Balans VL '!L25/3.6*1000000+'E Balans VL '!N25/3.6*1000000)/100</f>
        <v>1520.1572677209399</v>
      </c>
      <c r="G5" s="18"/>
      <c r="H5" s="17"/>
      <c r="I5" s="17"/>
      <c r="J5" s="17">
        <f>('E Balans VL '!D25+'E Balans VL '!E25)/3.6*1000000*landbouw!B17/100</f>
        <v>98.978474682598858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416.85627600300006</v>
      </c>
      <c r="C8" s="21">
        <f>C5+C6</f>
        <v>0</v>
      </c>
      <c r="D8" s="21">
        <f>MAX((D5+D6),0)</f>
        <v>43.054365182752001</v>
      </c>
      <c r="E8" s="21">
        <f>MAX((E5+E6),0)</f>
        <v>8.2582813270778406</v>
      </c>
      <c r="F8" s="21">
        <f>MAX((F5+F6),0)</f>
        <v>1520.1572677209399</v>
      </c>
      <c r="G8" s="21"/>
      <c r="H8" s="21"/>
      <c r="I8" s="21"/>
      <c r="J8" s="21">
        <f>MAX((J5+J6),0)</f>
        <v>98.978474682598858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0.21556737723875449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89.860614103481083</v>
      </c>
      <c r="C12" s="23">
        <f ca="1">C8*C10</f>
        <v>0</v>
      </c>
      <c r="D12" s="23">
        <f>D8*D10</f>
        <v>8.6969817669159042</v>
      </c>
      <c r="E12" s="23">
        <f>E8*E10</f>
        <v>1.8746298612466699</v>
      </c>
      <c r="F12" s="23">
        <f>F8*F10</f>
        <v>405.88199048149096</v>
      </c>
      <c r="G12" s="23"/>
      <c r="H12" s="23"/>
      <c r="I12" s="23"/>
      <c r="J12" s="23">
        <f>J8*J10</f>
        <v>35.038380037639996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5.8779496110481347E-2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149.09625554221097</v>
      </c>
      <c r="C26" s="242">
        <f>B26*'GWP N2O_CH4'!B5</f>
        <v>3131.0213663864301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41.901048893575897</v>
      </c>
      <c r="C27" s="242">
        <f>B27*'GWP N2O_CH4'!B5</f>
        <v>879.92202676509385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1.8391380468635301</v>
      </c>
      <c r="C28" s="242">
        <f>B28*'GWP N2O_CH4'!B4</f>
        <v>570.13279452769439</v>
      </c>
      <c r="D28" s="50"/>
    </row>
    <row r="29" spans="1:4">
      <c r="A29" s="41" t="s">
        <v>266</v>
      </c>
      <c r="B29" s="242">
        <f>B34*'ha_N2O bodem landbouw'!B4</f>
        <v>7.5929099348341298</v>
      </c>
      <c r="C29" s="242">
        <f>B29*'GWP N2O_CH4'!B4</f>
        <v>2353.8020797985801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1.7088173460661346E-3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6.1492615505021219E-5</v>
      </c>
      <c r="C5" s="427" t="s">
        <v>204</v>
      </c>
      <c r="D5" s="412">
        <f>SUM(D6:D11)</f>
        <v>8.5457724748315498E-5</v>
      </c>
      <c r="E5" s="412">
        <f>SUM(E6:E11)</f>
        <v>4.3252784316181054E-4</v>
      </c>
      <c r="F5" s="425" t="s">
        <v>204</v>
      </c>
      <c r="G5" s="412">
        <f>SUM(G6:G11)</f>
        <v>0.27008150526230051</v>
      </c>
      <c r="H5" s="412">
        <f>SUM(H6:H11)</f>
        <v>3.037347727055921E-2</v>
      </c>
      <c r="I5" s="427" t="s">
        <v>204</v>
      </c>
      <c r="J5" s="427" t="s">
        <v>204</v>
      </c>
      <c r="K5" s="427" t="s">
        <v>204</v>
      </c>
      <c r="L5" s="427" t="s">
        <v>204</v>
      </c>
      <c r="M5" s="412">
        <f>SUM(M6:M11)</f>
        <v>9.4069928783466848E-3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2.3415925679487945E-5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3.6897163538958677E-5</v>
      </c>
      <c r="E6" s="818">
        <f>vkm_GW_PW*SUMIFS(TableVerdeelsleutelVkm[LPG],TableVerdeelsleutelVkm[Voertuigtype],"Lichte voertuigen")*SUMIFS(TableECFTransport[EnergieConsumptieFactor (PJ per km)],TableECFTransport[Index],CONCATENATE($A6,"_LPG_LPG"))</f>
        <v>1.6842686442219154E-4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4.5475581184902858E-2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1.2840963129478088E-2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1.8155115344945555E-3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7.1963318135114645E-7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2.4804938811968966E-2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5.0393345600098518E-7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7.8036645392783651E-4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3.1508432010133262E-6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7.033329156070897E-6</v>
      </c>
      <c r="E8" s="415">
        <f>vkm_NGW_PW*SUMIFS(TableVerdeelsleutelVkm[LPG],TableVerdeelsleutelVkm[Voertuigtype],"Lichte voertuigen")*SUMIFS(TableECFTransport[EnergieConsumptieFactor (PJ per km)],TableECFTransport[Index],CONCATENATE($A8,"_LPG_LPG"))</f>
        <v>3.0629385735259517E-5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7.7108030622474932E-3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2.3749080198144298E-3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3.1375932243474843E-4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6.4719869413435552E-8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2.8683073773288102E-3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5.4703623028351642E-8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9.0237199163008185E-5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3.0120193201714904E-5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4.1527232053285927E-5</v>
      </c>
      <c r="E10" s="415">
        <f>vkm_SW_PW*SUMIFS(TableVerdeelsleutelVkm[LPG],TableVerdeelsleutelVkm[Voertuigtype],"Lichte voertuigen")*SUMIFS(TableECFTransport[EnergieConsumptieFactor (PJ per km)],TableECFTransport[Index],CONCATENATE($A10,"_LPG_LPG"))</f>
        <v>2.3347159300435947E-4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5.7146655054923806E-2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1.5154149079886447E-2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2.2520091110203476E-3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4.0213003720404619E-6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0.13207521977092859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2.8984043012147659E-6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4.1551092573061891E-3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17.081282084728116</v>
      </c>
      <c r="C14" s="21"/>
      <c r="D14" s="21">
        <f t="shared" ref="D14:M14" si="0">((D5)*10^9/3600)+D12</f>
        <v>23.73825687453208</v>
      </c>
      <c r="E14" s="21">
        <f t="shared" si="0"/>
        <v>120.14662310050292</v>
      </c>
      <c r="F14" s="21"/>
      <c r="G14" s="21">
        <f t="shared" si="0"/>
        <v>75022.64035063902</v>
      </c>
      <c r="H14" s="21">
        <f t="shared" si="0"/>
        <v>8437.0770195997811</v>
      </c>
      <c r="I14" s="21"/>
      <c r="J14" s="21"/>
      <c r="K14" s="21"/>
      <c r="L14" s="21"/>
      <c r="M14" s="21">
        <f t="shared" si="0"/>
        <v>2613.0535773185238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0.21556737723875449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3.6821671788801646</v>
      </c>
      <c r="C18" s="23"/>
      <c r="D18" s="23">
        <f t="shared" ref="D18:M18" si="1">D14*D16</f>
        <v>4.7951278886554807</v>
      </c>
      <c r="E18" s="23">
        <f t="shared" si="1"/>
        <v>27.273283443814165</v>
      </c>
      <c r="F18" s="23"/>
      <c r="G18" s="23">
        <f t="shared" si="1"/>
        <v>20031.044973620621</v>
      </c>
      <c r="H18" s="23">
        <f t="shared" si="1"/>
        <v>2100.8321778803456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2.8544846424266544E-3</v>
      </c>
      <c r="C50" s="311">
        <f t="shared" ref="C50:P50" si="2">SUM(C51:C52)</f>
        <v>0</v>
      </c>
      <c r="D50" s="311">
        <f t="shared" si="2"/>
        <v>0</v>
      </c>
      <c r="E50" s="311">
        <f t="shared" si="2"/>
        <v>0</v>
      </c>
      <c r="F50" s="311">
        <f t="shared" si="2"/>
        <v>0</v>
      </c>
      <c r="G50" s="311">
        <f t="shared" si="2"/>
        <v>5.7595956948306923E-4</v>
      </c>
      <c r="H50" s="311">
        <f t="shared" si="2"/>
        <v>0</v>
      </c>
      <c r="I50" s="311">
        <f t="shared" si="2"/>
        <v>0</v>
      </c>
      <c r="J50" s="311">
        <f t="shared" si="2"/>
        <v>0</v>
      </c>
      <c r="K50" s="311">
        <f t="shared" si="2"/>
        <v>0</v>
      </c>
      <c r="L50" s="311">
        <f t="shared" si="2"/>
        <v>0</v>
      </c>
      <c r="M50" s="311">
        <f t="shared" si="2"/>
        <v>1.7979226126749126E-5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3.2302452643037302E-6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5.7595956948306923E-4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1.7979226126749126E-5</v>
      </c>
      <c r="N51" s="313"/>
      <c r="O51" s="313"/>
      <c r="P51" s="316"/>
    </row>
    <row r="52" spans="1:18">
      <c r="A52" s="4" t="s">
        <v>318</v>
      </c>
      <c r="B52" s="819">
        <f>vkm_tram*SUMIFS(TableECFTransport[EnergieConsumptieFactor (PJ per km)],TableECFTransport[Index],"Tram_gemiddeld_Electric_Electric")</f>
        <v>2.8512543971623509E-3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792.91240067407057</v>
      </c>
      <c r="C54" s="21">
        <f t="shared" ref="C54:P54" si="3">(C50)*10^9/3600</f>
        <v>0</v>
      </c>
      <c r="D54" s="21">
        <f t="shared" si="3"/>
        <v>0</v>
      </c>
      <c r="E54" s="21">
        <f t="shared" si="3"/>
        <v>0</v>
      </c>
      <c r="F54" s="21">
        <f t="shared" si="3"/>
        <v>0</v>
      </c>
      <c r="G54" s="21">
        <f t="shared" si="3"/>
        <v>159.98876930085257</v>
      </c>
      <c r="H54" s="21">
        <f t="shared" si="3"/>
        <v>0</v>
      </c>
      <c r="I54" s="21">
        <f t="shared" si="3"/>
        <v>0</v>
      </c>
      <c r="J54" s="21">
        <f t="shared" si="3"/>
        <v>0</v>
      </c>
      <c r="K54" s="21">
        <f t="shared" si="3"/>
        <v>0</v>
      </c>
      <c r="L54" s="21">
        <f t="shared" si="3"/>
        <v>0</v>
      </c>
      <c r="M54" s="21">
        <f t="shared" si="3"/>
        <v>4.9942294796525353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0.21556737723875449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170.92604659339383</v>
      </c>
      <c r="C58" s="23">
        <f t="shared" ref="C58:P58" ca="1" si="4">C54*C56</f>
        <v>0</v>
      </c>
      <c r="D58" s="23">
        <f t="shared" si="4"/>
        <v>0</v>
      </c>
      <c r="E58" s="23">
        <f t="shared" si="4"/>
        <v>0</v>
      </c>
      <c r="F58" s="23">
        <f t="shared" si="4"/>
        <v>0</v>
      </c>
      <c r="G58" s="23">
        <f t="shared" si="4"/>
        <v>42.717001403327636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1541.1356564896005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1541.1356564896005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29176.921299189999</v>
      </c>
      <c r="D10" s="930">
        <f ca="1">tertiair!C16</f>
        <v>0</v>
      </c>
      <c r="E10" s="930">
        <f ca="1">tertiair!D16</f>
        <v>30631.620604028842</v>
      </c>
      <c r="F10" s="930">
        <f>tertiair!E16</f>
        <v>395.80729227850952</v>
      </c>
      <c r="G10" s="930">
        <f ca="1">tertiair!F16</f>
        <v>5633.8588686826442</v>
      </c>
      <c r="H10" s="930">
        <f>tertiair!G16</f>
        <v>0</v>
      </c>
      <c r="I10" s="930">
        <f>tertiair!H16</f>
        <v>0</v>
      </c>
      <c r="J10" s="930">
        <f>tertiair!I16</f>
        <v>0</v>
      </c>
      <c r="K10" s="930">
        <f>tertiair!J16</f>
        <v>4.049005666599869E-2</v>
      </c>
      <c r="L10" s="930">
        <f>tertiair!K16</f>
        <v>0</v>
      </c>
      <c r="M10" s="930">
        <f ca="1">tertiair!L16</f>
        <v>0</v>
      </c>
      <c r="N10" s="930">
        <f>tertiair!M16</f>
        <v>0</v>
      </c>
      <c r="O10" s="930">
        <f ca="1">tertiair!N16</f>
        <v>1438.5562826929367</v>
      </c>
      <c r="P10" s="930">
        <f>tertiair!O16</f>
        <v>7.8166666666666664</v>
      </c>
      <c r="Q10" s="931">
        <f>tertiair!P16</f>
        <v>0</v>
      </c>
      <c r="R10" s="628">
        <f ca="1">SUM(C10:Q10)</f>
        <v>67284.621503596252</v>
      </c>
      <c r="S10" s="67"/>
    </row>
    <row r="11" spans="1:19" s="437" customFormat="1">
      <c r="A11" s="736" t="s">
        <v>214</v>
      </c>
      <c r="B11" s="741"/>
      <c r="C11" s="930">
        <f>huishoudens!B8</f>
        <v>24639.055115830641</v>
      </c>
      <c r="D11" s="930">
        <f>huishoudens!C8</f>
        <v>0</v>
      </c>
      <c r="E11" s="930">
        <f>huishoudens!D8</f>
        <v>55678.99974182764</v>
      </c>
      <c r="F11" s="930">
        <f>huishoudens!E8</f>
        <v>0</v>
      </c>
      <c r="G11" s="930">
        <f>huishoudens!F8</f>
        <v>0</v>
      </c>
      <c r="H11" s="930">
        <f>huishoudens!G8</f>
        <v>0</v>
      </c>
      <c r="I11" s="930">
        <f>huishoudens!H8</f>
        <v>0</v>
      </c>
      <c r="J11" s="930">
        <f>huishoudens!I8</f>
        <v>0</v>
      </c>
      <c r="K11" s="930">
        <f>huishoudens!J8</f>
        <v>0</v>
      </c>
      <c r="L11" s="930">
        <f>huishoudens!K8</f>
        <v>0</v>
      </c>
      <c r="M11" s="930">
        <f>huishoudens!L8</f>
        <v>0</v>
      </c>
      <c r="N11" s="930">
        <f>huishoudens!M8</f>
        <v>0</v>
      </c>
      <c r="O11" s="930">
        <f>huishoudens!N8</f>
        <v>6260.4166541099958</v>
      </c>
      <c r="P11" s="930">
        <f>huishoudens!O8</f>
        <v>128.19333333333336</v>
      </c>
      <c r="Q11" s="931">
        <f>huishoudens!P8</f>
        <v>152.53333333333333</v>
      </c>
      <c r="R11" s="628">
        <f>SUM(C11:Q11)</f>
        <v>86859.198178434948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1626.8150029099997</v>
      </c>
      <c r="D13" s="930">
        <f>industrie!C18</f>
        <v>0</v>
      </c>
      <c r="E13" s="930">
        <f>industrie!D18</f>
        <v>1965.4418625579319</v>
      </c>
      <c r="F13" s="930">
        <f>industrie!E18</f>
        <v>224.19160724416957</v>
      </c>
      <c r="G13" s="930">
        <f>industrie!F18</f>
        <v>848.15705555242198</v>
      </c>
      <c r="H13" s="930">
        <f>industrie!G18</f>
        <v>0</v>
      </c>
      <c r="I13" s="930">
        <f>industrie!H18</f>
        <v>0</v>
      </c>
      <c r="J13" s="930">
        <f>industrie!I18</f>
        <v>0</v>
      </c>
      <c r="K13" s="930">
        <f>industrie!J18</f>
        <v>4.1206229909790322</v>
      </c>
      <c r="L13" s="930">
        <f>industrie!K18</f>
        <v>0</v>
      </c>
      <c r="M13" s="930">
        <f>industrie!L18</f>
        <v>0</v>
      </c>
      <c r="N13" s="930">
        <f>industrie!M18</f>
        <v>0</v>
      </c>
      <c r="O13" s="930">
        <f>industrie!N18</f>
        <v>197.33377956610565</v>
      </c>
      <c r="P13" s="930">
        <f>industrie!O18</f>
        <v>0</v>
      </c>
      <c r="Q13" s="931">
        <f>industrie!P18</f>
        <v>0</v>
      </c>
      <c r="R13" s="628">
        <f>SUM(C13:Q13)</f>
        <v>4866.0599308216078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55442.791417930639</v>
      </c>
      <c r="D16" s="660">
        <f t="shared" ref="D16:R16" ca="1" si="0">SUM(D9:D15)</f>
        <v>0</v>
      </c>
      <c r="E16" s="660">
        <f t="shared" ca="1" si="0"/>
        <v>88276.062208414412</v>
      </c>
      <c r="F16" s="660">
        <f t="shared" si="0"/>
        <v>619.99889952267904</v>
      </c>
      <c r="G16" s="660">
        <f t="shared" ca="1" si="0"/>
        <v>6482.0159242350664</v>
      </c>
      <c r="H16" s="660">
        <f t="shared" si="0"/>
        <v>0</v>
      </c>
      <c r="I16" s="660">
        <f t="shared" si="0"/>
        <v>0</v>
      </c>
      <c r="J16" s="660">
        <f t="shared" si="0"/>
        <v>0</v>
      </c>
      <c r="K16" s="660">
        <f t="shared" si="0"/>
        <v>4.1611130476450304</v>
      </c>
      <c r="L16" s="660">
        <f t="shared" si="0"/>
        <v>0</v>
      </c>
      <c r="M16" s="660">
        <f t="shared" ca="1" si="0"/>
        <v>0</v>
      </c>
      <c r="N16" s="660">
        <f t="shared" si="0"/>
        <v>0</v>
      </c>
      <c r="O16" s="660">
        <f t="shared" ca="1" si="0"/>
        <v>7896.3067163690384</v>
      </c>
      <c r="P16" s="660">
        <f t="shared" si="0"/>
        <v>136.01000000000002</v>
      </c>
      <c r="Q16" s="660">
        <f t="shared" si="0"/>
        <v>152.53333333333333</v>
      </c>
      <c r="R16" s="660">
        <f t="shared" ca="1" si="0"/>
        <v>159009.87961285282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792.91240067407057</v>
      </c>
      <c r="D19" s="930">
        <f>transport!C54</f>
        <v>0</v>
      </c>
      <c r="E19" s="930">
        <f>transport!D54</f>
        <v>0</v>
      </c>
      <c r="F19" s="930">
        <f>transport!E54</f>
        <v>0</v>
      </c>
      <c r="G19" s="930">
        <f>transport!F54</f>
        <v>0</v>
      </c>
      <c r="H19" s="930">
        <f>transport!G54</f>
        <v>159.98876930085257</v>
      </c>
      <c r="I19" s="930">
        <f>transport!H54</f>
        <v>0</v>
      </c>
      <c r="J19" s="930">
        <f>transport!I54</f>
        <v>0</v>
      </c>
      <c r="K19" s="930">
        <f>transport!J54</f>
        <v>0</v>
      </c>
      <c r="L19" s="930">
        <f>transport!K54</f>
        <v>0</v>
      </c>
      <c r="M19" s="930">
        <f>transport!L54</f>
        <v>0</v>
      </c>
      <c r="N19" s="930">
        <f>transport!M54</f>
        <v>4.9942294796525353</v>
      </c>
      <c r="O19" s="930">
        <f>transport!N54</f>
        <v>0</v>
      </c>
      <c r="P19" s="930">
        <f>transport!O54</f>
        <v>0</v>
      </c>
      <c r="Q19" s="931">
        <f>transport!P54</f>
        <v>0</v>
      </c>
      <c r="R19" s="628">
        <f>SUM(C19:Q19)</f>
        <v>957.89539945457568</v>
      </c>
      <c r="S19" s="67"/>
    </row>
    <row r="20" spans="1:19" s="437" customFormat="1">
      <c r="A20" s="736" t="s">
        <v>296</v>
      </c>
      <c r="B20" s="741"/>
      <c r="C20" s="930">
        <f>transport!B14</f>
        <v>17.081282084728116</v>
      </c>
      <c r="D20" s="930">
        <f>transport!C14</f>
        <v>0</v>
      </c>
      <c r="E20" s="930">
        <f>transport!D14</f>
        <v>23.73825687453208</v>
      </c>
      <c r="F20" s="930">
        <f>transport!E14</f>
        <v>120.14662310050292</v>
      </c>
      <c r="G20" s="930">
        <f>transport!F14</f>
        <v>0</v>
      </c>
      <c r="H20" s="930">
        <f>transport!G14</f>
        <v>75022.64035063902</v>
      </c>
      <c r="I20" s="930">
        <f>transport!H14</f>
        <v>8437.0770195997811</v>
      </c>
      <c r="J20" s="930">
        <f>transport!I14</f>
        <v>0</v>
      </c>
      <c r="K20" s="930">
        <f>transport!J14</f>
        <v>0</v>
      </c>
      <c r="L20" s="930">
        <f>transport!K14</f>
        <v>0</v>
      </c>
      <c r="M20" s="930">
        <f>transport!L14</f>
        <v>0</v>
      </c>
      <c r="N20" s="930">
        <f>transport!M14</f>
        <v>2613.0535773185238</v>
      </c>
      <c r="O20" s="930">
        <f>transport!N14</f>
        <v>0</v>
      </c>
      <c r="P20" s="930">
        <f>transport!O14</f>
        <v>0</v>
      </c>
      <c r="Q20" s="931">
        <f>transport!P14</f>
        <v>0</v>
      </c>
      <c r="R20" s="628">
        <f>SUM(C20:Q20)</f>
        <v>86233.737109617083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809.99368275879874</v>
      </c>
      <c r="D22" s="739">
        <f t="shared" ref="D22:R22" si="1">SUM(D18:D21)</f>
        <v>0</v>
      </c>
      <c r="E22" s="739">
        <f t="shared" si="1"/>
        <v>23.73825687453208</v>
      </c>
      <c r="F22" s="739">
        <f t="shared" si="1"/>
        <v>120.14662310050292</v>
      </c>
      <c r="G22" s="739">
        <f t="shared" si="1"/>
        <v>0</v>
      </c>
      <c r="H22" s="739">
        <f t="shared" si="1"/>
        <v>75182.629119939869</v>
      </c>
      <c r="I22" s="739">
        <f t="shared" si="1"/>
        <v>8437.0770195997811</v>
      </c>
      <c r="J22" s="739">
        <f t="shared" si="1"/>
        <v>0</v>
      </c>
      <c r="K22" s="739">
        <f t="shared" si="1"/>
        <v>0</v>
      </c>
      <c r="L22" s="739">
        <f t="shared" si="1"/>
        <v>0</v>
      </c>
      <c r="M22" s="739">
        <f t="shared" si="1"/>
        <v>0</v>
      </c>
      <c r="N22" s="739">
        <f t="shared" si="1"/>
        <v>2618.0478067981762</v>
      </c>
      <c r="O22" s="739">
        <f t="shared" si="1"/>
        <v>0</v>
      </c>
      <c r="P22" s="739">
        <f t="shared" si="1"/>
        <v>0</v>
      </c>
      <c r="Q22" s="739">
        <f t="shared" si="1"/>
        <v>0</v>
      </c>
      <c r="R22" s="739">
        <f t="shared" si="1"/>
        <v>87191.632509071656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416.85627600300006</v>
      </c>
      <c r="D24" s="930">
        <f>+landbouw!C8</f>
        <v>0</v>
      </c>
      <c r="E24" s="930">
        <f>+landbouw!D8</f>
        <v>43.054365182752001</v>
      </c>
      <c r="F24" s="930">
        <f>+landbouw!E8</f>
        <v>8.2582813270778406</v>
      </c>
      <c r="G24" s="930">
        <f>+landbouw!F8</f>
        <v>1520.1572677209399</v>
      </c>
      <c r="H24" s="930">
        <f>+landbouw!G8</f>
        <v>0</v>
      </c>
      <c r="I24" s="930">
        <f>+landbouw!H8</f>
        <v>0</v>
      </c>
      <c r="J24" s="930">
        <f>+landbouw!I8</f>
        <v>0</v>
      </c>
      <c r="K24" s="930">
        <f>+landbouw!J8</f>
        <v>98.978474682598858</v>
      </c>
      <c r="L24" s="930">
        <f>+landbouw!K8</f>
        <v>0</v>
      </c>
      <c r="M24" s="930">
        <f>+landbouw!L8</f>
        <v>0</v>
      </c>
      <c r="N24" s="930">
        <f>+landbouw!M8</f>
        <v>0</v>
      </c>
      <c r="O24" s="930">
        <f>+landbouw!N8</f>
        <v>0</v>
      </c>
      <c r="P24" s="930">
        <f>+landbouw!O8</f>
        <v>0</v>
      </c>
      <c r="Q24" s="931">
        <f>+landbouw!P8</f>
        <v>0</v>
      </c>
      <c r="R24" s="628">
        <f>SUM(C24:Q24)</f>
        <v>2087.3046649163689</v>
      </c>
      <c r="S24" s="67"/>
    </row>
    <row r="25" spans="1:19" s="437" customFormat="1" ht="15" thickBot="1">
      <c r="A25" s="758" t="s">
        <v>788</v>
      </c>
      <c r="B25" s="933"/>
      <c r="C25" s="934">
        <f>IF(Onbekend_ele_kWh="---",0,Onbekend_ele_kWh)/1000+IF(REST_rest_ele_kWh="---",0,REST_rest_ele_kWh)/1000</f>
        <v>6024.0141654999998</v>
      </c>
      <c r="D25" s="934"/>
      <c r="E25" s="934">
        <f>IF(onbekend_gas_kWh="---",0,onbekend_gas_kWh)/1000+IF(REST_rest_gas_kWh="---",0,REST_rest_gas_kWh)/1000</f>
        <v>8756.5246815999999</v>
      </c>
      <c r="F25" s="934"/>
      <c r="G25" s="934"/>
      <c r="H25" s="934"/>
      <c r="I25" s="934"/>
      <c r="J25" s="934"/>
      <c r="K25" s="934"/>
      <c r="L25" s="934"/>
      <c r="M25" s="934"/>
      <c r="N25" s="934"/>
      <c r="O25" s="934"/>
      <c r="P25" s="934"/>
      <c r="Q25" s="935"/>
      <c r="R25" s="628">
        <f>SUM(C25:Q25)</f>
        <v>14780.538847100001</v>
      </c>
      <c r="S25" s="67"/>
    </row>
    <row r="26" spans="1:19" s="437" customFormat="1" ht="15.75" thickBot="1">
      <c r="A26" s="633" t="s">
        <v>789</v>
      </c>
      <c r="B26" s="744"/>
      <c r="C26" s="739">
        <f>SUM(C24:C25)</f>
        <v>6440.8704415029997</v>
      </c>
      <c r="D26" s="739">
        <f t="shared" ref="D26:R26" si="2">SUM(D24:D25)</f>
        <v>0</v>
      </c>
      <c r="E26" s="739">
        <f t="shared" si="2"/>
        <v>8799.5790467827519</v>
      </c>
      <c r="F26" s="739">
        <f t="shared" si="2"/>
        <v>8.2582813270778406</v>
      </c>
      <c r="G26" s="739">
        <f t="shared" si="2"/>
        <v>1520.1572677209399</v>
      </c>
      <c r="H26" s="739">
        <f t="shared" si="2"/>
        <v>0</v>
      </c>
      <c r="I26" s="739">
        <f t="shared" si="2"/>
        <v>0</v>
      </c>
      <c r="J26" s="739">
        <f t="shared" si="2"/>
        <v>0</v>
      </c>
      <c r="K26" s="739">
        <f t="shared" si="2"/>
        <v>98.978474682598858</v>
      </c>
      <c r="L26" s="739">
        <f t="shared" si="2"/>
        <v>0</v>
      </c>
      <c r="M26" s="739">
        <f t="shared" si="2"/>
        <v>0</v>
      </c>
      <c r="N26" s="739">
        <f t="shared" si="2"/>
        <v>0</v>
      </c>
      <c r="O26" s="739">
        <f t="shared" si="2"/>
        <v>0</v>
      </c>
      <c r="P26" s="739">
        <f t="shared" si="2"/>
        <v>0</v>
      </c>
      <c r="Q26" s="739">
        <f t="shared" si="2"/>
        <v>0</v>
      </c>
      <c r="R26" s="739">
        <f t="shared" si="2"/>
        <v>16867.84351201637</v>
      </c>
      <c r="S26" s="67"/>
    </row>
    <row r="27" spans="1:19" s="437" customFormat="1" ht="17.25" thickTop="1" thickBot="1">
      <c r="A27" s="634" t="s">
        <v>109</v>
      </c>
      <c r="B27" s="732"/>
      <c r="C27" s="635">
        <f ca="1">C22+C16+C26</f>
        <v>62693.655542192435</v>
      </c>
      <c r="D27" s="635">
        <f t="shared" ref="D27:R27" ca="1" si="3">D22+D16+D26</f>
        <v>0</v>
      </c>
      <c r="E27" s="635">
        <f t="shared" ca="1" si="3"/>
        <v>97099.379512071697</v>
      </c>
      <c r="F27" s="635">
        <f t="shared" si="3"/>
        <v>748.40380395025977</v>
      </c>
      <c r="G27" s="635">
        <f t="shared" ca="1" si="3"/>
        <v>8002.1731919560061</v>
      </c>
      <c r="H27" s="635">
        <f t="shared" si="3"/>
        <v>75182.629119939869</v>
      </c>
      <c r="I27" s="635">
        <f t="shared" si="3"/>
        <v>8437.0770195997811</v>
      </c>
      <c r="J27" s="635">
        <f t="shared" si="3"/>
        <v>0</v>
      </c>
      <c r="K27" s="635">
        <f t="shared" si="3"/>
        <v>103.13958773024389</v>
      </c>
      <c r="L27" s="635">
        <f t="shared" si="3"/>
        <v>0</v>
      </c>
      <c r="M27" s="635">
        <f t="shared" ca="1" si="3"/>
        <v>0</v>
      </c>
      <c r="N27" s="635">
        <f t="shared" si="3"/>
        <v>2618.0478067981762</v>
      </c>
      <c r="O27" s="635">
        <f t="shared" ca="1" si="3"/>
        <v>7896.3067163690384</v>
      </c>
      <c r="P27" s="635">
        <f t="shared" si="3"/>
        <v>136.01000000000002</v>
      </c>
      <c r="Q27" s="635">
        <f t="shared" si="3"/>
        <v>152.53333333333333</v>
      </c>
      <c r="R27" s="635">
        <f t="shared" ca="1" si="3"/>
        <v>263069.35563394084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6289.5924003679411</v>
      </c>
      <c r="D40" s="930">
        <f ca="1">tertiair!C20</f>
        <v>0</v>
      </c>
      <c r="E40" s="930">
        <f ca="1">tertiair!D20</f>
        <v>6187.5873620138264</v>
      </c>
      <c r="F40" s="930">
        <f>tertiair!E20</f>
        <v>89.848255347221667</v>
      </c>
      <c r="G40" s="930">
        <f ca="1">tertiair!F20</f>
        <v>1504.2403179382661</v>
      </c>
      <c r="H40" s="930">
        <f>tertiair!G20</f>
        <v>0</v>
      </c>
      <c r="I40" s="930">
        <f>tertiair!H20</f>
        <v>0</v>
      </c>
      <c r="J40" s="930">
        <f>tertiair!I20</f>
        <v>0</v>
      </c>
      <c r="K40" s="930">
        <f>tertiair!J20</f>
        <v>1.4333480059763535E-2</v>
      </c>
      <c r="L40" s="930">
        <f>tertiair!K20</f>
        <v>0</v>
      </c>
      <c r="M40" s="930">
        <f ca="1">tertiair!L20</f>
        <v>0</v>
      </c>
      <c r="N40" s="930">
        <f>tertiair!M20</f>
        <v>0</v>
      </c>
      <c r="O40" s="930">
        <f ca="1">tertiair!N20</f>
        <v>0</v>
      </c>
      <c r="P40" s="930">
        <f>tertiair!O20</f>
        <v>0</v>
      </c>
      <c r="Q40" s="702">
        <f>tertiair!P20</f>
        <v>0</v>
      </c>
      <c r="R40" s="777">
        <f t="shared" ca="1" si="4"/>
        <v>14071.282669147315</v>
      </c>
    </row>
    <row r="41" spans="1:18">
      <c r="A41" s="749" t="s">
        <v>214</v>
      </c>
      <c r="B41" s="756"/>
      <c r="C41" s="930">
        <f ca="1">huishoudens!B12</f>
        <v>5311.3764889607273</v>
      </c>
      <c r="D41" s="930">
        <f ca="1">huishoudens!C12</f>
        <v>0</v>
      </c>
      <c r="E41" s="930">
        <f>huishoudens!D12</f>
        <v>11247.157947849184</v>
      </c>
      <c r="F41" s="930">
        <f>huishoudens!E12</f>
        <v>0</v>
      </c>
      <c r="G41" s="930">
        <f>huishoudens!F12</f>
        <v>0</v>
      </c>
      <c r="H41" s="930">
        <f>huishoudens!G12</f>
        <v>0</v>
      </c>
      <c r="I41" s="930">
        <f>huishoudens!H12</f>
        <v>0</v>
      </c>
      <c r="J41" s="930">
        <f>huishoudens!I12</f>
        <v>0</v>
      </c>
      <c r="K41" s="930">
        <f>huishoudens!J12</f>
        <v>0</v>
      </c>
      <c r="L41" s="930">
        <f>huishoudens!K12</f>
        <v>0</v>
      </c>
      <c r="M41" s="930">
        <f>huishoudens!L12</f>
        <v>0</v>
      </c>
      <c r="N41" s="930">
        <f>huishoudens!M12</f>
        <v>0</v>
      </c>
      <c r="O41" s="930">
        <f>huishoudens!N12</f>
        <v>0</v>
      </c>
      <c r="P41" s="930">
        <f>huishoudens!O12</f>
        <v>0</v>
      </c>
      <c r="Q41" s="702">
        <f>huishoudens!P12</f>
        <v>0</v>
      </c>
      <c r="R41" s="777">
        <f t="shared" ca="1" si="4"/>
        <v>16558.53443680991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350.68824342996538</v>
      </c>
      <c r="D43" s="930">
        <f ca="1">industrie!C22</f>
        <v>0</v>
      </c>
      <c r="E43" s="930">
        <f>industrie!D22</f>
        <v>397.01925623670229</v>
      </c>
      <c r="F43" s="930">
        <f>industrie!E22</f>
        <v>50.891494844426497</v>
      </c>
      <c r="G43" s="930">
        <f>industrie!F22</f>
        <v>226.45793383249668</v>
      </c>
      <c r="H43" s="930">
        <f>industrie!G22</f>
        <v>0</v>
      </c>
      <c r="I43" s="930">
        <f>industrie!H22</f>
        <v>0</v>
      </c>
      <c r="J43" s="930">
        <f>industrie!I22</f>
        <v>0</v>
      </c>
      <c r="K43" s="930">
        <f>industrie!J22</f>
        <v>1.4587005388065772</v>
      </c>
      <c r="L43" s="930">
        <f>industrie!K22</f>
        <v>0</v>
      </c>
      <c r="M43" s="930">
        <f>industrie!L22</f>
        <v>0</v>
      </c>
      <c r="N43" s="930">
        <f>industrie!M22</f>
        <v>0</v>
      </c>
      <c r="O43" s="930">
        <f>industrie!N22</f>
        <v>0</v>
      </c>
      <c r="P43" s="930">
        <f>industrie!O22</f>
        <v>0</v>
      </c>
      <c r="Q43" s="702">
        <f>industrie!P22</f>
        <v>0</v>
      </c>
      <c r="R43" s="776">
        <f t="shared" ca="1" si="4"/>
        <v>1026.5156288823973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11951.657132758635</v>
      </c>
      <c r="D46" s="660">
        <f t="shared" ref="D46:Q46" ca="1" si="5">SUM(D39:D45)</f>
        <v>0</v>
      </c>
      <c r="E46" s="660">
        <f t="shared" ca="1" si="5"/>
        <v>17831.764566099711</v>
      </c>
      <c r="F46" s="660">
        <f t="shared" si="5"/>
        <v>140.73975019164817</v>
      </c>
      <c r="G46" s="660">
        <f t="shared" ca="1" si="5"/>
        <v>1730.6982517707629</v>
      </c>
      <c r="H46" s="660">
        <f t="shared" si="5"/>
        <v>0</v>
      </c>
      <c r="I46" s="660">
        <f t="shared" si="5"/>
        <v>0</v>
      </c>
      <c r="J46" s="660">
        <f t="shared" si="5"/>
        <v>0</v>
      </c>
      <c r="K46" s="660">
        <f t="shared" si="5"/>
        <v>1.4730340188663407</v>
      </c>
      <c r="L46" s="660">
        <f t="shared" si="5"/>
        <v>0</v>
      </c>
      <c r="M46" s="660">
        <f t="shared" ca="1" si="5"/>
        <v>0</v>
      </c>
      <c r="N46" s="660">
        <f t="shared" si="5"/>
        <v>0</v>
      </c>
      <c r="O46" s="660">
        <f t="shared" ca="1" si="5"/>
        <v>0</v>
      </c>
      <c r="P46" s="660">
        <f t="shared" si="5"/>
        <v>0</v>
      </c>
      <c r="Q46" s="660">
        <f t="shared" si="5"/>
        <v>0</v>
      </c>
      <c r="R46" s="660">
        <f ca="1">SUM(R39:R45)</f>
        <v>31656.332734839623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170.92604659339383</v>
      </c>
      <c r="D49" s="930">
        <f ca="1">transport!C58</f>
        <v>0</v>
      </c>
      <c r="E49" s="930">
        <f>transport!D58</f>
        <v>0</v>
      </c>
      <c r="F49" s="930">
        <f>transport!E58</f>
        <v>0</v>
      </c>
      <c r="G49" s="930">
        <f>transport!F58</f>
        <v>0</v>
      </c>
      <c r="H49" s="930">
        <f>transport!G58</f>
        <v>42.717001403327636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213.64304799672146</v>
      </c>
    </row>
    <row r="50" spans="1:18">
      <c r="A50" s="752" t="s">
        <v>296</v>
      </c>
      <c r="B50" s="762"/>
      <c r="C50" s="631">
        <f ca="1">transport!B18</f>
        <v>3.6821671788801646</v>
      </c>
      <c r="D50" s="631">
        <f>transport!C18</f>
        <v>0</v>
      </c>
      <c r="E50" s="631">
        <f>transport!D18</f>
        <v>4.7951278886554807</v>
      </c>
      <c r="F50" s="631">
        <f>transport!E18</f>
        <v>27.273283443814165</v>
      </c>
      <c r="G50" s="631">
        <f>transport!F18</f>
        <v>0</v>
      </c>
      <c r="H50" s="631">
        <f>transport!G18</f>
        <v>20031.044973620621</v>
      </c>
      <c r="I50" s="631">
        <f>transport!H18</f>
        <v>2100.8321778803456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22167.627730012318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174.60821377227401</v>
      </c>
      <c r="D52" s="660">
        <f t="shared" ref="D52:Q52" ca="1" si="6">SUM(D48:D51)</f>
        <v>0</v>
      </c>
      <c r="E52" s="660">
        <f t="shared" si="6"/>
        <v>4.7951278886554807</v>
      </c>
      <c r="F52" s="660">
        <f t="shared" si="6"/>
        <v>27.273283443814165</v>
      </c>
      <c r="G52" s="660">
        <f t="shared" si="6"/>
        <v>0</v>
      </c>
      <c r="H52" s="660">
        <f t="shared" si="6"/>
        <v>20073.76197502395</v>
      </c>
      <c r="I52" s="660">
        <f t="shared" si="6"/>
        <v>2100.8321778803456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22381.270778009039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89.860614103481083</v>
      </c>
      <c r="D54" s="631">
        <f ca="1">+landbouw!C12</f>
        <v>0</v>
      </c>
      <c r="E54" s="631">
        <f>+landbouw!D12</f>
        <v>8.6969817669159042</v>
      </c>
      <c r="F54" s="631">
        <f>+landbouw!E12</f>
        <v>1.8746298612466699</v>
      </c>
      <c r="G54" s="631">
        <f>+landbouw!F12</f>
        <v>405.88199048149096</v>
      </c>
      <c r="H54" s="631">
        <f>+landbouw!G12</f>
        <v>0</v>
      </c>
      <c r="I54" s="631">
        <f>+landbouw!H12</f>
        <v>0</v>
      </c>
      <c r="J54" s="631">
        <f>+landbouw!I12</f>
        <v>0</v>
      </c>
      <c r="K54" s="631">
        <f>+landbouw!J12</f>
        <v>35.038380037639996</v>
      </c>
      <c r="L54" s="631">
        <f>+landbouw!K12</f>
        <v>0</v>
      </c>
      <c r="M54" s="631">
        <f>+landbouw!L12</f>
        <v>0</v>
      </c>
      <c r="N54" s="631">
        <f>+landbouw!M12</f>
        <v>0</v>
      </c>
      <c r="O54" s="631">
        <f>+landbouw!N12</f>
        <v>0</v>
      </c>
      <c r="P54" s="631">
        <f>+landbouw!O12</f>
        <v>0</v>
      </c>
      <c r="Q54" s="632">
        <f>+landbouw!P12</f>
        <v>0</v>
      </c>
      <c r="R54" s="659">
        <f ca="1">SUM(C54:Q54)</f>
        <v>541.35259625077458</v>
      </c>
    </row>
    <row r="55" spans="1:18" ht="15" thickBot="1">
      <c r="A55" s="752" t="s">
        <v>788</v>
      </c>
      <c r="B55" s="762"/>
      <c r="C55" s="631">
        <f ca="1">C25*'EF ele_warmte'!B12</f>
        <v>1298.5809341059394</v>
      </c>
      <c r="D55" s="631"/>
      <c r="E55" s="631">
        <f>E25*EF_CO2_aardgas</f>
        <v>1768.8179856832</v>
      </c>
      <c r="F55" s="631"/>
      <c r="G55" s="631"/>
      <c r="H55" s="631"/>
      <c r="I55" s="631"/>
      <c r="J55" s="631"/>
      <c r="K55" s="631"/>
      <c r="L55" s="631"/>
      <c r="M55" s="631"/>
      <c r="N55" s="631"/>
      <c r="O55" s="631"/>
      <c r="P55" s="631"/>
      <c r="Q55" s="632"/>
      <c r="R55" s="659">
        <f ca="1">SUM(C55:Q55)</f>
        <v>3067.3989197891397</v>
      </c>
    </row>
    <row r="56" spans="1:18" ht="15.75" thickBot="1">
      <c r="A56" s="750" t="s">
        <v>789</v>
      </c>
      <c r="B56" s="763"/>
      <c r="C56" s="660">
        <f ca="1">SUM(C54:C55)</f>
        <v>1388.4415482094205</v>
      </c>
      <c r="D56" s="660">
        <f t="shared" ref="D56:Q56" ca="1" si="7">SUM(D54:D55)</f>
        <v>0</v>
      </c>
      <c r="E56" s="660">
        <f t="shared" si="7"/>
        <v>1777.514967450116</v>
      </c>
      <c r="F56" s="660">
        <f t="shared" si="7"/>
        <v>1.8746298612466699</v>
      </c>
      <c r="G56" s="660">
        <f t="shared" si="7"/>
        <v>405.88199048149096</v>
      </c>
      <c r="H56" s="660">
        <f t="shared" si="7"/>
        <v>0</v>
      </c>
      <c r="I56" s="660">
        <f t="shared" si="7"/>
        <v>0</v>
      </c>
      <c r="J56" s="660">
        <f t="shared" si="7"/>
        <v>0</v>
      </c>
      <c r="K56" s="660">
        <f t="shared" si="7"/>
        <v>35.038380037639996</v>
      </c>
      <c r="L56" s="660">
        <f t="shared" si="7"/>
        <v>0</v>
      </c>
      <c r="M56" s="660">
        <f t="shared" si="7"/>
        <v>0</v>
      </c>
      <c r="N56" s="660">
        <f t="shared" si="7"/>
        <v>0</v>
      </c>
      <c r="O56" s="660">
        <f t="shared" si="7"/>
        <v>0</v>
      </c>
      <c r="P56" s="660">
        <f t="shared" si="7"/>
        <v>0</v>
      </c>
      <c r="Q56" s="661">
        <f t="shared" si="7"/>
        <v>0</v>
      </c>
      <c r="R56" s="662">
        <f ca="1">SUM(R54:R55)</f>
        <v>3608.7515160399143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13514.70689474033</v>
      </c>
      <c r="D61" s="668">
        <f t="shared" ref="D61:Q61" ca="1" si="8">D46+D52+D56</f>
        <v>0</v>
      </c>
      <c r="E61" s="668">
        <f t="shared" ca="1" si="8"/>
        <v>19614.074661438481</v>
      </c>
      <c r="F61" s="668">
        <f t="shared" si="8"/>
        <v>169.887663496709</v>
      </c>
      <c r="G61" s="668">
        <f t="shared" ca="1" si="8"/>
        <v>2136.5802422522538</v>
      </c>
      <c r="H61" s="668">
        <f t="shared" si="8"/>
        <v>20073.76197502395</v>
      </c>
      <c r="I61" s="668">
        <f t="shared" si="8"/>
        <v>2100.8321778803456</v>
      </c>
      <c r="J61" s="668">
        <f t="shared" si="8"/>
        <v>0</v>
      </c>
      <c r="K61" s="668">
        <f t="shared" si="8"/>
        <v>36.511414056506339</v>
      </c>
      <c r="L61" s="668">
        <f t="shared" si="8"/>
        <v>0</v>
      </c>
      <c r="M61" s="668">
        <f t="shared" ca="1" si="8"/>
        <v>0</v>
      </c>
      <c r="N61" s="668">
        <f t="shared" si="8"/>
        <v>0</v>
      </c>
      <c r="O61" s="668">
        <f t="shared" ca="1" si="8"/>
        <v>0</v>
      </c>
      <c r="P61" s="668">
        <f t="shared" si="8"/>
        <v>0</v>
      </c>
      <c r="Q61" s="668">
        <f t="shared" si="8"/>
        <v>0</v>
      </c>
      <c r="R61" s="668">
        <f ca="1">R46+R52+R56</f>
        <v>57646.355028888574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0.21556737723875452</v>
      </c>
      <c r="D63" s="709">
        <f t="shared" ca="1" si="9"/>
        <v>0</v>
      </c>
      <c r="E63" s="941">
        <f t="shared" ca="1" si="9"/>
        <v>0.20199999999999999</v>
      </c>
      <c r="F63" s="709">
        <f t="shared" si="9"/>
        <v>0.22700000000000004</v>
      </c>
      <c r="G63" s="709">
        <f t="shared" ca="1" si="9"/>
        <v>0.26700000000000002</v>
      </c>
      <c r="H63" s="709">
        <f t="shared" si="9"/>
        <v>0.26700000000000007</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1541.1356564896005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1541.1356564896005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24639.055115830641</v>
      </c>
      <c r="C4" s="441">
        <f>huishoudens!C8</f>
        <v>0</v>
      </c>
      <c r="D4" s="441">
        <f>huishoudens!D8</f>
        <v>55678.99974182764</v>
      </c>
      <c r="E4" s="441">
        <f>huishoudens!E8</f>
        <v>0</v>
      </c>
      <c r="F4" s="441">
        <f>huishoudens!F8</f>
        <v>0</v>
      </c>
      <c r="G4" s="441">
        <f>huishoudens!G8</f>
        <v>0</v>
      </c>
      <c r="H4" s="441">
        <f>huishoudens!H8</f>
        <v>0</v>
      </c>
      <c r="I4" s="441">
        <f>huishoudens!I8</f>
        <v>0</v>
      </c>
      <c r="J4" s="441">
        <f>huishoudens!J8</f>
        <v>0</v>
      </c>
      <c r="K4" s="441">
        <f>huishoudens!K8</f>
        <v>0</v>
      </c>
      <c r="L4" s="441">
        <f>huishoudens!L8</f>
        <v>0</v>
      </c>
      <c r="M4" s="441">
        <f>huishoudens!M8</f>
        <v>0</v>
      </c>
      <c r="N4" s="441">
        <f>huishoudens!N8</f>
        <v>6260.4166541099958</v>
      </c>
      <c r="O4" s="441">
        <f>huishoudens!O8</f>
        <v>128.19333333333336</v>
      </c>
      <c r="P4" s="442">
        <f>huishoudens!P8</f>
        <v>152.53333333333333</v>
      </c>
      <c r="Q4" s="443">
        <f>SUM(B4:P4)</f>
        <v>86859.198178434948</v>
      </c>
    </row>
    <row r="5" spans="1:17">
      <c r="A5" s="440" t="s">
        <v>149</v>
      </c>
      <c r="B5" s="441">
        <f ca="1">tertiair!B16</f>
        <v>27612.254299189997</v>
      </c>
      <c r="C5" s="441">
        <f ca="1">tertiair!C16</f>
        <v>0</v>
      </c>
      <c r="D5" s="441">
        <f ca="1">tertiair!D16</f>
        <v>30631.620604028842</v>
      </c>
      <c r="E5" s="441">
        <f>tertiair!E16</f>
        <v>395.80729227850952</v>
      </c>
      <c r="F5" s="441">
        <f ca="1">tertiair!F16</f>
        <v>5633.8588686826442</v>
      </c>
      <c r="G5" s="441">
        <f>tertiair!G16</f>
        <v>0</v>
      </c>
      <c r="H5" s="441">
        <f>tertiair!H16</f>
        <v>0</v>
      </c>
      <c r="I5" s="441">
        <f>tertiair!I16</f>
        <v>0</v>
      </c>
      <c r="J5" s="441">
        <f>tertiair!J16</f>
        <v>4.049005666599869E-2</v>
      </c>
      <c r="K5" s="441">
        <f>tertiair!K16</f>
        <v>0</v>
      </c>
      <c r="L5" s="441">
        <f ca="1">tertiair!L16</f>
        <v>0</v>
      </c>
      <c r="M5" s="441">
        <f>tertiair!M16</f>
        <v>0</v>
      </c>
      <c r="N5" s="441">
        <f ca="1">tertiair!N16</f>
        <v>1438.5562826929367</v>
      </c>
      <c r="O5" s="441">
        <f>tertiair!O16</f>
        <v>7.8166666666666664</v>
      </c>
      <c r="P5" s="442">
        <f>tertiair!P16</f>
        <v>0</v>
      </c>
      <c r="Q5" s="440">
        <f t="shared" ref="Q5:Q14" ca="1" si="0">SUM(B5:P5)</f>
        <v>65719.954503596251</v>
      </c>
    </row>
    <row r="6" spans="1:17">
      <c r="A6" s="440" t="s">
        <v>187</v>
      </c>
      <c r="B6" s="441">
        <f>'openbare verlichting'!B8</f>
        <v>1564.6669999999999</v>
      </c>
      <c r="C6" s="441"/>
      <c r="D6" s="441"/>
      <c r="E6" s="441"/>
      <c r="F6" s="441"/>
      <c r="G6" s="441"/>
      <c r="H6" s="441"/>
      <c r="I6" s="441"/>
      <c r="J6" s="441"/>
      <c r="K6" s="441"/>
      <c r="L6" s="441"/>
      <c r="M6" s="441"/>
      <c r="N6" s="441"/>
      <c r="O6" s="441"/>
      <c r="P6" s="442"/>
      <c r="Q6" s="440">
        <f t="shared" si="0"/>
        <v>1564.6669999999999</v>
      </c>
    </row>
    <row r="7" spans="1:17">
      <c r="A7" s="440" t="s">
        <v>105</v>
      </c>
      <c r="B7" s="441">
        <f>landbouw!B8</f>
        <v>416.85627600300006</v>
      </c>
      <c r="C7" s="441">
        <f>landbouw!C8</f>
        <v>0</v>
      </c>
      <c r="D7" s="441">
        <f>landbouw!D8</f>
        <v>43.054365182752001</v>
      </c>
      <c r="E7" s="441">
        <f>landbouw!E8</f>
        <v>8.2582813270778406</v>
      </c>
      <c r="F7" s="441">
        <f>landbouw!F8</f>
        <v>1520.1572677209399</v>
      </c>
      <c r="G7" s="441">
        <f>landbouw!G8</f>
        <v>0</v>
      </c>
      <c r="H7" s="441">
        <f>landbouw!H8</f>
        <v>0</v>
      </c>
      <c r="I7" s="441">
        <f>landbouw!I8</f>
        <v>0</v>
      </c>
      <c r="J7" s="441">
        <f>landbouw!J8</f>
        <v>98.978474682598858</v>
      </c>
      <c r="K7" s="441">
        <f>landbouw!K8</f>
        <v>0</v>
      </c>
      <c r="L7" s="441">
        <f>landbouw!L8</f>
        <v>0</v>
      </c>
      <c r="M7" s="441">
        <f>landbouw!M8</f>
        <v>0</v>
      </c>
      <c r="N7" s="441">
        <f>landbouw!N8</f>
        <v>0</v>
      </c>
      <c r="O7" s="441">
        <f>landbouw!O8</f>
        <v>0</v>
      </c>
      <c r="P7" s="442">
        <f>landbouw!P8</f>
        <v>0</v>
      </c>
      <c r="Q7" s="440">
        <f t="shared" si="0"/>
        <v>2087.3046649163689</v>
      </c>
    </row>
    <row r="8" spans="1:17">
      <c r="A8" s="440" t="s">
        <v>600</v>
      </c>
      <c r="B8" s="441">
        <f>industrie!B18</f>
        <v>1626.8150029099997</v>
      </c>
      <c r="C8" s="441">
        <f>industrie!C18</f>
        <v>0</v>
      </c>
      <c r="D8" s="441">
        <f>industrie!D18</f>
        <v>1965.4418625579319</v>
      </c>
      <c r="E8" s="441">
        <f>industrie!E18</f>
        <v>224.19160724416957</v>
      </c>
      <c r="F8" s="441">
        <f>industrie!F18</f>
        <v>848.15705555242198</v>
      </c>
      <c r="G8" s="441">
        <f>industrie!G18</f>
        <v>0</v>
      </c>
      <c r="H8" s="441">
        <f>industrie!H18</f>
        <v>0</v>
      </c>
      <c r="I8" s="441">
        <f>industrie!I18</f>
        <v>0</v>
      </c>
      <c r="J8" s="441">
        <f>industrie!J18</f>
        <v>4.1206229909790322</v>
      </c>
      <c r="K8" s="441">
        <f>industrie!K18</f>
        <v>0</v>
      </c>
      <c r="L8" s="441">
        <f>industrie!L18</f>
        <v>0</v>
      </c>
      <c r="M8" s="441">
        <f>industrie!M18</f>
        <v>0</v>
      </c>
      <c r="N8" s="441">
        <f>industrie!N18</f>
        <v>197.33377956610565</v>
      </c>
      <c r="O8" s="441">
        <f>industrie!O18</f>
        <v>0</v>
      </c>
      <c r="P8" s="442">
        <f>industrie!P18</f>
        <v>0</v>
      </c>
      <c r="Q8" s="440">
        <f t="shared" si="0"/>
        <v>4866.0599308216078</v>
      </c>
    </row>
    <row r="9" spans="1:17" s="446" customFormat="1">
      <c r="A9" s="444" t="s">
        <v>549</v>
      </c>
      <c r="B9" s="445">
        <f>transport!B14</f>
        <v>17.081282084728116</v>
      </c>
      <c r="C9" s="445">
        <f>transport!C14</f>
        <v>0</v>
      </c>
      <c r="D9" s="445">
        <f>transport!D14</f>
        <v>23.73825687453208</v>
      </c>
      <c r="E9" s="445">
        <f>transport!E14</f>
        <v>120.14662310050292</v>
      </c>
      <c r="F9" s="445">
        <f>transport!F14</f>
        <v>0</v>
      </c>
      <c r="G9" s="445">
        <f>transport!G14</f>
        <v>75022.64035063902</v>
      </c>
      <c r="H9" s="445">
        <f>transport!H14</f>
        <v>8437.0770195997811</v>
      </c>
      <c r="I9" s="445">
        <f>transport!I14</f>
        <v>0</v>
      </c>
      <c r="J9" s="445">
        <f>transport!J14</f>
        <v>0</v>
      </c>
      <c r="K9" s="445">
        <f>transport!K14</f>
        <v>0</v>
      </c>
      <c r="L9" s="445">
        <f>transport!L14</f>
        <v>0</v>
      </c>
      <c r="M9" s="445">
        <f>transport!M14</f>
        <v>2613.0535773185238</v>
      </c>
      <c r="N9" s="445">
        <f>transport!N14</f>
        <v>0</v>
      </c>
      <c r="O9" s="445">
        <f>transport!O14</f>
        <v>0</v>
      </c>
      <c r="P9" s="445">
        <f>transport!P14</f>
        <v>0</v>
      </c>
      <c r="Q9" s="444">
        <f>SUM(B9:P9)</f>
        <v>86233.737109617083</v>
      </c>
    </row>
    <row r="10" spans="1:17">
      <c r="A10" s="440" t="s">
        <v>539</v>
      </c>
      <c r="B10" s="441">
        <f>transport!B54</f>
        <v>792.91240067407057</v>
      </c>
      <c r="C10" s="441">
        <f>transport!C54</f>
        <v>0</v>
      </c>
      <c r="D10" s="441">
        <f>transport!D54</f>
        <v>0</v>
      </c>
      <c r="E10" s="441">
        <f>transport!E54</f>
        <v>0</v>
      </c>
      <c r="F10" s="441">
        <f>transport!F54</f>
        <v>0</v>
      </c>
      <c r="G10" s="441">
        <f>transport!G54</f>
        <v>159.98876930085257</v>
      </c>
      <c r="H10" s="441">
        <f>transport!H54</f>
        <v>0</v>
      </c>
      <c r="I10" s="441">
        <f>transport!I54</f>
        <v>0</v>
      </c>
      <c r="J10" s="441">
        <f>transport!J54</f>
        <v>0</v>
      </c>
      <c r="K10" s="441">
        <f>transport!K54</f>
        <v>0</v>
      </c>
      <c r="L10" s="441">
        <f>transport!L54</f>
        <v>0</v>
      </c>
      <c r="M10" s="441">
        <f>transport!M54</f>
        <v>4.9942294796525353</v>
      </c>
      <c r="N10" s="441">
        <f>transport!N54</f>
        <v>0</v>
      </c>
      <c r="O10" s="441">
        <f>transport!O54</f>
        <v>0</v>
      </c>
      <c r="P10" s="442">
        <f>transport!P54</f>
        <v>0</v>
      </c>
      <c r="Q10" s="440">
        <f t="shared" si="0"/>
        <v>957.89539945457568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6024.0141654999998</v>
      </c>
      <c r="C14" s="448"/>
      <c r="D14" s="448">
        <f>'SEAP template'!E25</f>
        <v>8756.5246815999999</v>
      </c>
      <c r="E14" s="448"/>
      <c r="F14" s="448"/>
      <c r="G14" s="448"/>
      <c r="H14" s="448"/>
      <c r="I14" s="448"/>
      <c r="J14" s="448"/>
      <c r="K14" s="448"/>
      <c r="L14" s="448"/>
      <c r="M14" s="448"/>
      <c r="N14" s="448"/>
      <c r="O14" s="448"/>
      <c r="P14" s="449"/>
      <c r="Q14" s="440">
        <f t="shared" si="0"/>
        <v>14780.538847100001</v>
      </c>
    </row>
    <row r="15" spans="1:17" s="450" customFormat="1">
      <c r="A15" s="956" t="s">
        <v>543</v>
      </c>
      <c r="B15" s="896">
        <f ca="1">SUM(B4:B14)</f>
        <v>62693.655542192435</v>
      </c>
      <c r="C15" s="896">
        <f t="shared" ref="C15:Q15" ca="1" si="1">SUM(C4:C14)</f>
        <v>0</v>
      </c>
      <c r="D15" s="896">
        <f t="shared" ca="1" si="1"/>
        <v>97099.379512071697</v>
      </c>
      <c r="E15" s="896">
        <f t="shared" si="1"/>
        <v>748.40380395025977</v>
      </c>
      <c r="F15" s="896">
        <f t="shared" ca="1" si="1"/>
        <v>8002.1731919560061</v>
      </c>
      <c r="G15" s="896">
        <f t="shared" si="1"/>
        <v>75182.629119939869</v>
      </c>
      <c r="H15" s="896">
        <f t="shared" si="1"/>
        <v>8437.0770195997811</v>
      </c>
      <c r="I15" s="896">
        <f t="shared" si="1"/>
        <v>0</v>
      </c>
      <c r="J15" s="896">
        <f t="shared" si="1"/>
        <v>103.13958773024389</v>
      </c>
      <c r="K15" s="896">
        <f t="shared" si="1"/>
        <v>0</v>
      </c>
      <c r="L15" s="896">
        <f t="shared" ca="1" si="1"/>
        <v>0</v>
      </c>
      <c r="M15" s="896">
        <f t="shared" si="1"/>
        <v>2618.0478067981762</v>
      </c>
      <c r="N15" s="896">
        <f t="shared" ca="1" si="1"/>
        <v>7896.3067163690384</v>
      </c>
      <c r="O15" s="896">
        <f t="shared" si="1"/>
        <v>136.01000000000002</v>
      </c>
      <c r="P15" s="896">
        <f t="shared" si="1"/>
        <v>152.53333333333333</v>
      </c>
      <c r="Q15" s="896">
        <f t="shared" ca="1" si="1"/>
        <v>263069.35563394084</v>
      </c>
    </row>
    <row r="17" spans="1:17">
      <c r="A17" s="451" t="s">
        <v>544</v>
      </c>
      <c r="B17" s="714">
        <f ca="1">huishoudens!B10</f>
        <v>0.21556737723875449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5311.3764889607273</v>
      </c>
      <c r="C22" s="441">
        <f t="shared" ref="C22:C32" ca="1" si="3">C4*$C$17</f>
        <v>0</v>
      </c>
      <c r="D22" s="441">
        <f t="shared" ref="D22:D32" si="4">D4*$D$17</f>
        <v>11247.157947849184</v>
      </c>
      <c r="E22" s="441">
        <f t="shared" ref="E22:E32" si="5">E4*$E$17</f>
        <v>0</v>
      </c>
      <c r="F22" s="441">
        <f t="shared" ref="F22:F32" si="6">F4*$F$17</f>
        <v>0</v>
      </c>
      <c r="G22" s="441">
        <f t="shared" ref="G22:G32" si="7">G4*$G$17</f>
        <v>0</v>
      </c>
      <c r="H22" s="441">
        <f t="shared" ref="H22:H32" si="8">H4*$H$17</f>
        <v>0</v>
      </c>
      <c r="I22" s="441">
        <f t="shared" ref="I22:I32" si="9">I4*$I$17</f>
        <v>0</v>
      </c>
      <c r="J22" s="441">
        <f t="shared" ref="J22:J32" si="10">J4*$J$17</f>
        <v>0</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16558.53443680991</v>
      </c>
    </row>
    <row r="23" spans="1:17">
      <c r="A23" s="440" t="s">
        <v>149</v>
      </c>
      <c r="B23" s="441">
        <f t="shared" ca="1" si="2"/>
        <v>5952.3012389259111</v>
      </c>
      <c r="C23" s="441">
        <f t="shared" ca="1" si="3"/>
        <v>0</v>
      </c>
      <c r="D23" s="441">
        <f t="shared" ca="1" si="4"/>
        <v>6187.5873620138264</v>
      </c>
      <c r="E23" s="441">
        <f t="shared" si="5"/>
        <v>89.848255347221667</v>
      </c>
      <c r="F23" s="441">
        <f t="shared" ca="1" si="6"/>
        <v>1504.2403179382661</v>
      </c>
      <c r="G23" s="441">
        <f t="shared" si="7"/>
        <v>0</v>
      </c>
      <c r="H23" s="441">
        <f t="shared" si="8"/>
        <v>0</v>
      </c>
      <c r="I23" s="441">
        <f t="shared" si="9"/>
        <v>0</v>
      </c>
      <c r="J23" s="441">
        <f t="shared" si="10"/>
        <v>1.4333480059763535E-2</v>
      </c>
      <c r="K23" s="441">
        <f t="shared" si="11"/>
        <v>0</v>
      </c>
      <c r="L23" s="441">
        <f t="shared" ca="1" si="12"/>
        <v>0</v>
      </c>
      <c r="M23" s="441">
        <f t="shared" si="13"/>
        <v>0</v>
      </c>
      <c r="N23" s="441">
        <f t="shared" ca="1" si="14"/>
        <v>0</v>
      </c>
      <c r="O23" s="441">
        <f t="shared" si="15"/>
        <v>0</v>
      </c>
      <c r="P23" s="442">
        <f t="shared" si="16"/>
        <v>0</v>
      </c>
      <c r="Q23" s="440">
        <f t="shared" ref="Q23:Q32" ca="1" si="17">SUM(B23:P23)</f>
        <v>13733.991507705285</v>
      </c>
    </row>
    <row r="24" spans="1:17">
      <c r="A24" s="440" t="s">
        <v>187</v>
      </c>
      <c r="B24" s="441">
        <f t="shared" ca="1" si="2"/>
        <v>337.29116144203027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337.29116144203027</v>
      </c>
    </row>
    <row r="25" spans="1:17">
      <c r="A25" s="440" t="s">
        <v>105</v>
      </c>
      <c r="B25" s="441">
        <f t="shared" ca="1" si="2"/>
        <v>89.860614103481083</v>
      </c>
      <c r="C25" s="441">
        <f t="shared" ca="1" si="3"/>
        <v>0</v>
      </c>
      <c r="D25" s="441">
        <f t="shared" si="4"/>
        <v>8.6969817669159042</v>
      </c>
      <c r="E25" s="441">
        <f t="shared" si="5"/>
        <v>1.8746298612466699</v>
      </c>
      <c r="F25" s="441">
        <f t="shared" si="6"/>
        <v>405.88199048149096</v>
      </c>
      <c r="G25" s="441">
        <f t="shared" si="7"/>
        <v>0</v>
      </c>
      <c r="H25" s="441">
        <f t="shared" si="8"/>
        <v>0</v>
      </c>
      <c r="I25" s="441">
        <f t="shared" si="9"/>
        <v>0</v>
      </c>
      <c r="J25" s="441">
        <f t="shared" si="10"/>
        <v>35.038380037639996</v>
      </c>
      <c r="K25" s="441">
        <f t="shared" si="11"/>
        <v>0</v>
      </c>
      <c r="L25" s="441">
        <f t="shared" si="12"/>
        <v>0</v>
      </c>
      <c r="M25" s="441">
        <f t="shared" si="13"/>
        <v>0</v>
      </c>
      <c r="N25" s="441">
        <f t="shared" si="14"/>
        <v>0</v>
      </c>
      <c r="O25" s="441">
        <f t="shared" si="15"/>
        <v>0</v>
      </c>
      <c r="P25" s="442">
        <f t="shared" si="16"/>
        <v>0</v>
      </c>
      <c r="Q25" s="440">
        <f t="shared" ca="1" si="17"/>
        <v>541.35259625077458</v>
      </c>
    </row>
    <row r="26" spans="1:17">
      <c r="A26" s="440" t="s">
        <v>600</v>
      </c>
      <c r="B26" s="441">
        <f t="shared" ca="1" si="2"/>
        <v>350.68824342996538</v>
      </c>
      <c r="C26" s="441">
        <f t="shared" ca="1" si="3"/>
        <v>0</v>
      </c>
      <c r="D26" s="441">
        <f t="shared" si="4"/>
        <v>397.01925623670229</v>
      </c>
      <c r="E26" s="441">
        <f t="shared" si="5"/>
        <v>50.891494844426497</v>
      </c>
      <c r="F26" s="441">
        <f t="shared" si="6"/>
        <v>226.45793383249668</v>
      </c>
      <c r="G26" s="441">
        <f t="shared" si="7"/>
        <v>0</v>
      </c>
      <c r="H26" s="441">
        <f t="shared" si="8"/>
        <v>0</v>
      </c>
      <c r="I26" s="441">
        <f t="shared" si="9"/>
        <v>0</v>
      </c>
      <c r="J26" s="441">
        <f t="shared" si="10"/>
        <v>1.4587005388065772</v>
      </c>
      <c r="K26" s="441">
        <f t="shared" si="11"/>
        <v>0</v>
      </c>
      <c r="L26" s="441">
        <f t="shared" si="12"/>
        <v>0</v>
      </c>
      <c r="M26" s="441">
        <f t="shared" si="13"/>
        <v>0</v>
      </c>
      <c r="N26" s="441">
        <f t="shared" si="14"/>
        <v>0</v>
      </c>
      <c r="O26" s="441">
        <f t="shared" si="15"/>
        <v>0</v>
      </c>
      <c r="P26" s="442">
        <f t="shared" si="16"/>
        <v>0</v>
      </c>
      <c r="Q26" s="440">
        <f t="shared" ca="1" si="17"/>
        <v>1026.5156288823973</v>
      </c>
    </row>
    <row r="27" spans="1:17" s="446" customFormat="1">
      <c r="A27" s="444" t="s">
        <v>549</v>
      </c>
      <c r="B27" s="708">
        <f t="shared" ca="1" si="2"/>
        <v>3.6821671788801646</v>
      </c>
      <c r="C27" s="445">
        <f t="shared" ca="1" si="3"/>
        <v>0</v>
      </c>
      <c r="D27" s="445">
        <f t="shared" si="4"/>
        <v>4.7951278886554807</v>
      </c>
      <c r="E27" s="445">
        <f t="shared" si="5"/>
        <v>27.273283443814165</v>
      </c>
      <c r="F27" s="445">
        <f t="shared" si="6"/>
        <v>0</v>
      </c>
      <c r="G27" s="445">
        <f t="shared" si="7"/>
        <v>20031.044973620621</v>
      </c>
      <c r="H27" s="445">
        <f t="shared" si="8"/>
        <v>2100.8321778803456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22167.627730012318</v>
      </c>
    </row>
    <row r="28" spans="1:17">
      <c r="A28" s="440" t="s">
        <v>539</v>
      </c>
      <c r="B28" s="441">
        <f t="shared" ca="1" si="2"/>
        <v>170.92604659339383</v>
      </c>
      <c r="C28" s="441">
        <f t="shared" ca="1" si="3"/>
        <v>0</v>
      </c>
      <c r="D28" s="441">
        <f t="shared" si="4"/>
        <v>0</v>
      </c>
      <c r="E28" s="441">
        <f t="shared" si="5"/>
        <v>0</v>
      </c>
      <c r="F28" s="441">
        <f t="shared" si="6"/>
        <v>0</v>
      </c>
      <c r="G28" s="441">
        <f t="shared" si="7"/>
        <v>42.717001403327636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213.64304799672146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1298.5809341059394</v>
      </c>
      <c r="C32" s="441">
        <f t="shared" ca="1" si="3"/>
        <v>0</v>
      </c>
      <c r="D32" s="441">
        <f t="shared" si="4"/>
        <v>1768.8179856832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3067.3989197891397</v>
      </c>
    </row>
    <row r="33" spans="1:17" s="450" customFormat="1">
      <c r="A33" s="956" t="s">
        <v>543</v>
      </c>
      <c r="B33" s="896">
        <f ca="1">SUM(B22:B32)</f>
        <v>13514.70689474033</v>
      </c>
      <c r="C33" s="896">
        <f t="shared" ref="C33:Q33" ca="1" si="18">SUM(C22:C32)</f>
        <v>0</v>
      </c>
      <c r="D33" s="896">
        <f t="shared" ca="1" si="18"/>
        <v>19614.074661438481</v>
      </c>
      <c r="E33" s="896">
        <f t="shared" si="18"/>
        <v>169.887663496709</v>
      </c>
      <c r="F33" s="896">
        <f t="shared" ca="1" si="18"/>
        <v>2136.5802422522538</v>
      </c>
      <c r="G33" s="896">
        <f t="shared" si="18"/>
        <v>20073.76197502395</v>
      </c>
      <c r="H33" s="896">
        <f t="shared" si="18"/>
        <v>2100.8321778803456</v>
      </c>
      <c r="I33" s="896">
        <f t="shared" si="18"/>
        <v>0</v>
      </c>
      <c r="J33" s="896">
        <f t="shared" si="18"/>
        <v>36.511414056506332</v>
      </c>
      <c r="K33" s="896">
        <f t="shared" si="18"/>
        <v>0</v>
      </c>
      <c r="L33" s="896">
        <f t="shared" ca="1" si="18"/>
        <v>0</v>
      </c>
      <c r="M33" s="896">
        <f t="shared" si="18"/>
        <v>0</v>
      </c>
      <c r="N33" s="896">
        <f t="shared" ca="1" si="18"/>
        <v>0</v>
      </c>
      <c r="O33" s="896">
        <f t="shared" si="18"/>
        <v>0</v>
      </c>
      <c r="P33" s="896">
        <f t="shared" si="18"/>
        <v>0</v>
      </c>
      <c r="Q33" s="896">
        <f t="shared" ca="1" si="18"/>
        <v>57646.355028888582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1541.1356564896005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1541.1356564896005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0.21556737723875449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0.21556737723875449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2022-07-26T11:12:35Z</dcterms:modified>
</cp:coreProperties>
</file>