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270377C-00BB-443A-8A6C-CCAC869BA1E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<sst xmlns="http://schemas.openxmlformats.org/spreadsheetml/2006/main" count="2411" uniqueCount="890">
  <si>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</si>
  <si>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</si>
  <si>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</si>
  <si>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</si>
  <si>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</si>
  <si>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</si>
  <si>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</si>
  <si>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</si>
  <si>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</si>
  <si>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</si>
  <si>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</si>
  <si>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</si>
  <si>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</si>
  <si>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</si>
  <si>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</si>
  <si>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</si>
  <si>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</si>
  <si>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</si>
  <si>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</si>
  <si>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</si>
  <si>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</si>
  <si>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</si>
  <si>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</si>
  <si>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</si>
  <si>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</si>
  <si>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</si>
  <si>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</si>
  <si>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</si>
  <si>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</si>
  <si>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</si>
  <si>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</si>
  <si>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</si>
  <si>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</si>
  <si>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</si>
  <si>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</si>
  <si>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</si>
  <si>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</si>
  <si>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</si>
  <si>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</si>
  <si>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</si>
  <si>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</si>
  <si>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</si>
  <si>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</si>
  <si>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</si>
  <si>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</si>
  <si>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</si>
  <si>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</si>
  <si>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</si>
  <si>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</si>
  <si>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</si>
  <si>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</si>
  <si>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</si>
  <si>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</si>
  <si>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</si>
  <si>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</si>
  <si>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</si>
  <si>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</si>
  <si>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</si>
  <si>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</si>
  <si>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</si>
  <si>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</si>
  <si>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</si>
  <si>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</si>
  <si>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</si>
  <si>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</si>
  <si>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</si>
  <si>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</si>
  <si>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</si>
  <si>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</si>
  <si>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</si>
  <si>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</si>
  <si>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</si>
  <si>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</si>
  <si>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</si>
  <si>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</si>
  <si>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</si>
  <si>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</si>
  <si>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</si>
  <si>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</si>
  <si>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</si>
  <si>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</si>
  <si>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</si>
  <si>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</si>
  <si>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</si>
  <si>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</si>
  <si>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</si>
  <si>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</si>
  <si>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</si>
  <si>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</si>
  <si>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</si>
  <si>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</si>
  <si>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</si>
  <si>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</si>
  <si>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</si>
  <si>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</si>
  <si>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</si>
  <si>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</si>
  <si>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</si>
  <si>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</si>
  <si>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</si>
  <si>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</si>
  <si>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</si>
  <si>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</si>
  <si>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</si>
  <si>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</si>
  <si>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</si>
  <si>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</si>
  <si>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</si>
  <si>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</si>
  <si>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</si>
  <si>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</si>
  <si>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</si>
  <si>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</si>
  <si>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</si>
  <si>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</si>
  <si>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</si>
  <si>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</si>
  <si>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</si>
  <si>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</si>
  <si>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</si>
  <si>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</si>
  <si>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</si>
  <si>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</si>
  <si>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</si>
  <si>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</si>
  <si>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</si>
  <si>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</si>
  <si>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</si>
  <si>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</si>
  <si>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</si>
  <si>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</si>
  <si>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</si>
  <si>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</si>
  <si>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</si>
  <si>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</si>
  <si>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</si>
  <si>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</si>
  <si>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</si>
  <si>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</si>
  <si>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</si>
  <si>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</si>
  <si>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</si>
  <si>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</si>
  <si>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</si>
  <si>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</si>
  <si>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</si>
  <si>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</si>
  <si>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</si>
  <si>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</si>
  <si>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</si>
  <si>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</si>
  <si>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</si>
  <si>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</si>
  <si>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</si>
  <si>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</si>
  <si>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</si>
  <si>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</si>
  <si>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</si>
  <si>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</si>
  <si>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</si>
  <si>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</si>
  <si>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</si>
  <si>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</si>
  <si>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</si>
  <si>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</si>
  <si>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</si>
  <si>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</si>
  <si>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</si>
  <si>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</si>
  <si>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</si>
  <si>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</si>
  <si>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</si>
  <si>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</si>
  <si>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</si>
  <si>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</si>
  <si>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</si>
  <si>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</si>
  <si>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</si>
  <si>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</si>
  <si>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</si>
  <si>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</si>
  <si>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</si>
  <si>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</si>
  <si>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</si>
  <si>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</si>
  <si>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</si>
  <si>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</si>
  <si>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</si>
  <si>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</si>
  <si>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</si>
  <si>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</si>
  <si>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</si>
  <si>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</si>
  <si>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</si>
  <si>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</si>
  <si>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</si>
  <si>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</si>
  <si>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</si>
  <si>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</si>
  <si>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</si>
  <si>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</si>
  <si>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</si>
  <si>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</si>
  <si>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</si>
  <si>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</si>
  <si>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</si>
  <si>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</si>
  <si>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</si>
  <si>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</si>
  <si>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</si>
  <si>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</si>
  <si>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</si>
  <si>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</si>
  <si>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</si>
  <si>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</si>
  <si>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</si>
  <si>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</si>
  <si>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</si>
  <si>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</si>
  <si>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</si>
  <si>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</si>
  <si>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</si>
  <si>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</si>
  <si>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</si>
  <si>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</si>
  <si>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</si>
  <si>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</si>
  <si>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</si>
  <si>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</si>
  <si>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</si>
  <si>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</si>
  <si>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</si>
  <si>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</si>
  <si>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</si>
  <si>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</si>
  <si>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</si>
  <si>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</si>
  <si>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</si>
  <si>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</si>
  <si>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</si>
  <si>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</si>
  <si>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</si>
  <si>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</si>
  <si>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</si>
  <si>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</si>
  <si>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</si>
  <si>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</si>
  <si>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</si>
  <si>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</si>
  <si>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</si>
  <si>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</si>
  <si>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</si>
  <si>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</si>
  <si>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</si>
  <si>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</si>
  <si>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</si>
  <si>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</si>
  <si>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</si>
  <si>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</si>
  <si>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</si>
  <si>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</si>
  <si>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</si>
  <si>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</si>
  <si>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</si>
  <si>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</si>
  <si>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</si>
  <si>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</si>
  <si>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</si>
  <si>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</si>
  <si>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</si>
  <si>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</si>
  <si>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</si>
  <si>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</si>
  <si>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</si>
  <si>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</si>
  <si>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</si>
  <si>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</si>
  <si>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</si>
  <si>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</si>
  <si>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</si>
  <si>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</si>
  <si>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</si>
  <si>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</si>
  <si>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</si>
  <si>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</si>
  <si>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</si>
  <si>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</si>
  <si>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</si>
  <si>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</si>
  <si>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</si>
  <si>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</si>
  <si>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</si>
  <si>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</si>
  <si>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</si>
  <si>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</si>
  <si>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</si>
  <si>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</si>
  <si>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</si>
  <si>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</si>
  <si>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</si>
  <si>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</si>
  <si>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</si>
  <si>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</si>
  <si>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</si>
  <si>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</si>
  <si>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</si>
  <si>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</si>
  <si>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</si>
  <si>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</si>
  <si>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</si>
  <si>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</si>
  <si>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</si>
  <si>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</si>
  <si>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</si>
  <si>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</si>
  <si>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</si>
  <si>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</si>
  <si>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</si>
  <si>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</si>
  <si>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</si>
  <si>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</si>
  <si>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</si>
  <si>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</si>
  <si>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</si>
  <si>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</si>
  <si>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</si>
  <si>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</si>
  <si>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</si>
  <si>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</si>
  <si>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</si>
  <si>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</si>
  <si>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</si>
  <si>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</si>
  <si>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</si>
  <si>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</si>
  <si>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</si>
  <si>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</si>
  <si>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</si>
  <si>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</si>
  <si>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</si>
  <si>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</si>
  <si>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</si>
  <si>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</si>
  <si>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</si>
  <si>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</si>
  <si>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</si>
  <si>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</si>
  <si>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</si>
  <si>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</si>
  <si>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</si>
  <si>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</si>
  <si>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</si>
  <si>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</si>
  <si>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</si>
  <si>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</si>
  <si>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</si>
  <si>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</si>
  <si>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</si>
  <si>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</si>
  <si>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</si>
  <si>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</si>
  <si>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</si>
  <si>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</si>
  <si>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</si>
  <si>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</si>
  <si>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</si>
  <si>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</si>
  <si>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</si>
  <si>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</si>
  <si>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</si>
  <si>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</si>
  <si>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</si>
  <si>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</si>
  <si>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</si>
  <si>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</si>
  <si>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</si>
  <si>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</si>
  <si>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</si>
  <si>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</si>
  <si>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</si>
  <si>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</si>
  <si>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</si>
  <si>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</si>
  <si>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</si>
  <si>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</si>
  <si>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</si>
  <si>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</si>
  <si>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</si>
  <si>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</si>
  <si>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</si>
  <si>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</si>
  <si>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</si>
  <si>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</si>
  <si>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</si>
  <si>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</si>
  <si>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</si>
  <si>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</si>
  <si>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</si>
  <si>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</si>
  <si>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</si>
  <si>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</si>
  <si>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</si>
  <si>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</si>
  <si>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</si>
  <si>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</si>
  <si>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</si>
  <si>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</si>
  <si>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</si>
  <si>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</si>
  <si>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</si>
  <si>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</si>
  <si>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</si>
  <si>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</si>
  <si>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</si>
  <si>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</si>
  <si>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</si>
  <si>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</si>
  <si>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</si>
  <si>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</si>
  <si>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</si>
  <si>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</si>
  <si>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</si>
  <si>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</si>
  <si>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</si>
  <si>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</si>
  <si>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</si>
  <si>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</si>
  <si>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</si>
  <si>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</si>
  <si>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</si>
  <si>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</si>
  <si>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</si>
  <si>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</si>
  <si>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</si>
  <si>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</si>
  <si>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</si>
  <si>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</si>
  <si>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</si>
  <si>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</si>
  <si>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</si>
  <si>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</si>
  <si>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</si>
  <si>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</si>
  <si>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</si>
  <si>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</si>
  <si>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</si>
  <si>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</si>
  <si>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</si>
  <si>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</si>
  <si>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</si>
  <si>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</si>
  <si>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</si>
  <si>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</si>
  <si>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</si>
  <si>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</si>
  <si>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</si>
  <si>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</si>
  <si>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</si>
  <si>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</si>
  <si>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</si>
  <si>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</si>
  <si>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</si>
  <si>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</si>
  <si>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</si>
  <si>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</si>
  <si>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</si>
  <si>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</si>
  <si>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</si>
  <si>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</si>
  <si>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</si>
  <si>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</si>
  <si>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</si>
  <si>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</si>
  <si>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</si>
  <si>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</si>
  <si>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</si>
  <si>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</si>
  <si>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</si>
  <si>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</si>
  <si>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</si>
  <si>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</si>
  <si>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</si>
  <si>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</si>
  <si>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</si>
  <si>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</si>
  <si>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</si>
  <si>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</si>
  <si>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</si>
  <si>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</si>
  <si>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</si>
  <si>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</si>
  <si>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</si>
  <si>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</si>
  <si>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</si>
  <si>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</si>
  <si>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</si>
  <si>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</si>
  <si>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</si>
  <si>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</si>
  <si>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</si>
  <si>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</si>
  <si>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</si>
  <si>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</si>
  <si>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</si>
  <si>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</si>
  <si>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</si>
  <si>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</si>
  <si>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</si>
  <si>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</si>
  <si>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</si>
  <si>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</si>
  <si>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</si>
  <si>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</si>
  <si>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</si>
  <si>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</si>
  <si>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</si>
  <si>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</si>
  <si>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</si>
  <si>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</si>
  <si>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</si>
  <si>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</si>
  <si>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</si>
  <si>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</si>
  <si>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</si>
  <si>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</si>
  <si>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</si>
  <si>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</si>
  <si>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</si>
  <si>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</si>
  <si>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</si>
  <si>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</si>
  <si>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</si>
  <si>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</si>
  <si>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</si>
  <si>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</si>
  <si>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</si>
  <si>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</si>
  <si>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</si>
  <si>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</si>
  <si>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</si>
  <si>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</si>
  <si>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</si>
  <si>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</si>
  <si>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</si>
  <si>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</si>
  <si>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</si>
  <si>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</si>
  <si>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</si>
  <si>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</si>
  <si>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</si>
  <si>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</si>
  <si>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</si>
  <si>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</si>
  <si>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</si>
  <si>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</si>
  <si>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</si>
  <si>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</si>
  <si>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</si>
  <si>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</si>
  <si>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</si>
  <si>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</si>
  <si>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</si>
  <si>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</si>
  <si>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</si>
  <si>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</si>
  <si>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</si>
  <si>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</si>
  <si>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</si>
  <si>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</si>
  <si>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</si>
  <si>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</si>
  <si>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</si>
  <si>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</si>
  <si>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</si>
  <si>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</si>
  <si>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</si>
  <si>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</si>
  <si>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</si>
  <si>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</si>
  <si>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</si>
  <si>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</si>
  <si>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</si>
  <si>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</si>
  <si>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</si>
  <si>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</si>
  <si>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</si>
  <si>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</si>
  <si>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</si>
  <si>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</si>
  <si>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</si>
  <si>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</si>
  <si>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</si>
  <si>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</si>
  <si>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</si>
  <si>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</si>
  <si>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</si>
  <si>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</si>
  <si>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</si>
  <si>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</si>
  <si>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</si>
  <si>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</si>
  <si>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</si>
  <si>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</si>
  <si>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</si>
  <si>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</si>
  <si>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</si>
  <si>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</si>
  <si>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</si>
  <si>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</si>
  <si>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</si>
  <si>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</si>
  <si>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</si>
  <si>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</si>
  <si>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</si>
  <si>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</si>
  <si>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</si>
  <si>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</si>
  <si>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</si>
  <si>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</si>
  <si>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</si>
  <si>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</si>
  <si>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</si>
  <si>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</si>
  <si>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</si>
  <si>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</si>
  <si>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</si>
  <si>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</si>
  <si>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</si>
  <si>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</si>
  <si>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</si>
  <si>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</si>
  <si>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</si>
  <si>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</si>
  <si>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</si>
  <si>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</si>
  <si>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</si>
  <si>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</si>
  <si>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</si>
  <si>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</si>
  <si>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</si>
  <si>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</si>
  <si>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</si>
  <si>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</si>
  <si>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</si>
  <si>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</si>
  <si>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</si>
  <si>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</si>
  <si>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</si>
  <si>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</si>
  <si>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</si>
  <si>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</si>
  <si>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</si>
  <si>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</si>
  <si>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</si>
  <si>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</si>
  <si>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</si>
  <si>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</si>
  <si>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</si>
  <si>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</si>
  <si>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</si>
  <si>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</si>
  <si>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</si>
  <si>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</si>
  <si>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</si>
  <si>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</si>
  <si>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</si>
  <si>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</si>
  <si>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</si>
  <si>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</si>
  <si>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</si>
  <si>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</si>
  <si>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</si>
  <si>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</si>
  <si>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</si>
  <si>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</si>
  <si>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</si>
  <si>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</si>
  <si>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</si>
  <si>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</si>
  <si>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</si>
  <si>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</si>
  <si>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</si>
  <si>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</si>
  <si>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</si>
  <si>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</si>
  <si>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</si>
  <si>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</si>
  <si>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</si>
  <si>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</si>
  <si>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</si>
  <si>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</si>
  <si>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</si>
  <si>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</si>
  <si>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</si>
  <si>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</si>
  <si>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</si>
  <si>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</si>
  <si>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</si>
  <si>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</si>
  <si>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</si>
  <si>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</si>
  <si>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</si>
  <si>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</si>
  <si>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</si>
  <si>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</si>
  <si>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</si>
  <si>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</si>
  <si>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</si>
  <si>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</si>
  <si>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</si>
  <si>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</si>
  <si>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</si>
  <si>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</si>
  <si>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</si>
  <si>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</si>
  <si>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</si>
  <si>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</si>
  <si>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</si>
  <si>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</si>
  <si>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</si>
  <si>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</si>
  <si>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</si>
  <si>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</si>
  <si>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</si>
  <si>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</si>
  <si>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</si>
  <si>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</si>
  <si>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</si>
  <si>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</si>
  <si>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</si>
  <si>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</si>
  <si>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</si>
  <si>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</si>
  <si>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</si>
  <si>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</si>
  <si>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</si>
  <si>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</si>
  <si>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</si>
  <si>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</si>
  <si>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</si>
  <si>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</si>
  <si>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</si>
  <si>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</si>
  <si>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</si>
  <si>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</si>
  <si>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</si>
  <si>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</si>
  <si>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</si>
  <si>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</si>
  <si>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</si>
  <si>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</si>
  <si>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</si>
  <si>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</si>
  <si>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</si>
  <si>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</si>
  <si>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</si>
  <si>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</si>
  <si>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</si>
  <si>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</si>
  <si>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</si>
  <si>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</si>
  <si>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</si>
  <si>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</si>
  <si>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</si>
  <si>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</si>
  <si>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</si>
  <si>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</si>
  <si>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</si>
  <si>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</si>
  <si>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</si>
  <si>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</si>
  <si>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</si>
  <si>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</si>
  <si>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</si>
  <si>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</si>
  <si>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</si>
  <si>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</si>
  <si>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</si>
  <si>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</si>
  <si>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</si>
  <si>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</si>
  <si>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</si>
  <si>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</si>
  <si>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</si>
  <si>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</si>
  <si>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</si>
  <si>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</si>
  <si>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</si>
  <si>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</si>
  <si>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</si>
  <si>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</si>
  <si>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</si>
  <si>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</si>
  <si>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</si>
  <si>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</si>
  <si>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</si>
  <si>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</si>
  <si>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</si>
  <si>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</si>
  <si>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</si>
  <si>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</si>
  <si>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</si>
  <si>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</si>
  <si>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</si>
  <si>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</si>
  <si>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</si>
  <si>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</si>
  <si>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</si>
  <si>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</si>
  <si>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</si>
  <si>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</si>
  <si>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</si>
  <si>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</si>
  <si>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</si>
  <si>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</si>
  <si>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</si>
  <si>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</si>
  <si>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</si>
  <si>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</si>
  <si>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</si>
  <si>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</si>
  <si>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</si>
  <si>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</si>
  <si>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</si>
  <si>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</si>
  <si>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</si>
  <si>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</si>
  <si>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</si>
  <si>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</si>
  <si>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</si>
  <si>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</si>
  <si>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</si>
  <si>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</si>
  <si>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</si>
  <si>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</si>
  <si>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</si>
  <si>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</si>
  <si>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</si>
  <si>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</si>
  <si>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</si>
  <si>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</si>
  <si>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</si>
  <si>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</si>
  <si>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</si>
  <si>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</si>
  <si>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</si>
  <si>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</si>
  <si>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</si>
  <si>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</si>
  <si>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</si>
  <si>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</si>
  <si>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</si>
  <si>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</si>
  <si>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</si>
  <si>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</si>
  <si>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</si>
  <si>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</si>
  <si>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</si>
  <si>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</si>
  <si>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</si>
  <si>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</si>
  <si>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</si>
  <si>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</si>
  <si>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</si>
  <si>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</si>
  <si>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</si>
  <si>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</si>
  <si>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</si>
  <si>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</si>
  <si>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</si>
  <si>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</si>
  <si>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</si>
  <si>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</si>
  <si>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</si>
  <si>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</si>
  <si>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</si>
  <si>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</si>
  <si>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</si>
  <si>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</si>
  <si>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</si>
  <si>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</si>
  <si>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</si>
  <si>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36008</t>
  </si>
  <si>
    <t>IZEGEM</t>
  </si>
  <si>
    <t>Paarden&amp;pony's 200 - 600 kg</t>
  </si>
  <si>
    <t>Paarden&amp;pony's &lt; 200 kg</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</si>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</sst>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2C7E086A-26AE-44BC-BA85-21E255ACE70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226330.07313154411</c:v>
                </c:pt>
                <c:pt idx="1">
                  <c:v>76559.468811440151</c:v>
                </c:pt>
                <c:pt idx="2">
                  <c:v>2209.2750000000001</c:v>
                </c:pt>
                <c:pt idx="3">
                  <c:v>15109.773753583451</c:v>
                </c:pt>
                <c:pt idx="4">
                  <c:v>175766.97367234869</c:v>
                </c:pt>
                <c:pt idx="5">
                  <c:v>151633.80739961308</c:v>
                </c:pt>
                <c:pt idx="6">
                  <c:v>672.26321099804056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226330.07313154411</c:v>
                </c:pt>
                <c:pt idx="1">
                  <c:v>76559.468811440151</c:v>
                </c:pt>
                <c:pt idx="2">
                  <c:v>2209.2750000000001</c:v>
                </c:pt>
                <c:pt idx="3">
                  <c:v>15109.773753583451</c:v>
                </c:pt>
                <c:pt idx="4">
                  <c:v>175766.97367234869</c:v>
                </c:pt>
                <c:pt idx="5">
                  <c:v>151633.80739961308</c:v>
                </c:pt>
                <c:pt idx="6">
                  <c:v>672.26321099804056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44637.183062400203</c:v>
                </c:pt>
                <c:pt idx="2">
                  <c:v>14923.969849191426</c:v>
                </c:pt>
                <c:pt idx="3">
                  <c:v>400.451226251538</c:v>
                </c:pt>
                <c:pt idx="4">
                  <c:v>3745.984387018862</c:v>
                </c:pt>
                <c:pt idx="5">
                  <c:v>32426.603887501977</c:v>
                </c:pt>
                <c:pt idx="6">
                  <c:v>38857.410036039626</c:v>
                </c:pt>
                <c:pt idx="7">
                  <c:v>173.77837323067271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44637.183062400203</c:v>
                </c:pt>
                <c:pt idx="2">
                  <c:v>14923.969849191426</c:v>
                </c:pt>
                <c:pt idx="3">
                  <c:v>400.451226251538</c:v>
                </c:pt>
                <c:pt idx="4">
                  <c:v>3745.984387018862</c:v>
                </c:pt>
                <c:pt idx="5">
                  <c:v>32426.603887501977</c:v>
                </c:pt>
                <c:pt idx="6">
                  <c:v>38857.410036039626</c:v>
                </c:pt>
                <c:pt idx="7">
                  <c:v>173.77837323067271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36008</v>
      </c>
      <c r="B6" s="380"/>
      <c r="C6" s="381"/>
    </row>
    <row r="7" spans="1:7" s="378" customFormat="1" ht="15.75" customHeight="1">
      <c r="A7" s="382" t="str">
        <f>txtMunicipality</f>
        <v>IZEGEM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0.18125911271866924</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0.18125911271866924</v>
      </c>
      <c r="C29" s="489">
        <f ca="1">'EF ele_warmte'!B22</f>
        <v>0.23764705882352941</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11932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893.26</v>
      </c>
      <c r="C14" s="322"/>
      <c r="D14" s="322"/>
      <c r="E14" s="322"/>
      <c r="F14" s="322"/>
    </row>
    <row r="15" spans="1:6">
      <c r="A15" s="1248" t="s">
        <v>177</v>
      </c>
      <c r="B15" s="1249">
        <v>3</v>
      </c>
      <c r="C15" s="322"/>
      <c r="D15" s="322"/>
      <c r="E15" s="322"/>
      <c r="F15" s="322"/>
    </row>
    <row r="16" spans="1:6">
      <c r="A16" s="1248" t="s">
        <v>6</v>
      </c>
      <c r="B16" s="1249">
        <v>66</v>
      </c>
      <c r="C16" s="322"/>
      <c r="D16" s="322"/>
      <c r="E16" s="322"/>
      <c r="F16" s="322"/>
    </row>
    <row r="17" spans="1:6">
      <c r="A17" s="1248" t="s">
        <v>7</v>
      </c>
      <c r="B17" s="1249">
        <v>168</v>
      </c>
      <c r="C17" s="322"/>
      <c r="D17" s="322"/>
      <c r="E17" s="322"/>
      <c r="F17" s="322"/>
    </row>
    <row r="18" spans="1:6">
      <c r="A18" s="1248" t="s">
        <v>8</v>
      </c>
      <c r="B18" s="1249">
        <v>163</v>
      </c>
      <c r="C18" s="322"/>
      <c r="D18" s="322"/>
      <c r="E18" s="322"/>
      <c r="F18" s="322"/>
    </row>
    <row r="19" spans="1:6">
      <c r="A19" s="1248" t="s">
        <v>9</v>
      </c>
      <c r="B19" s="1249">
        <v>165</v>
      </c>
      <c r="C19" s="322"/>
      <c r="D19" s="322"/>
      <c r="E19" s="322"/>
      <c r="F19" s="322"/>
    </row>
    <row r="20" spans="1:6">
      <c r="A20" s="1248" t="s">
        <v>10</v>
      </c>
      <c r="B20" s="1249">
        <v>120</v>
      </c>
      <c r="C20" s="322"/>
      <c r="D20" s="322"/>
      <c r="E20" s="322"/>
      <c r="F20" s="322"/>
    </row>
    <row r="21" spans="1:6">
      <c r="A21" s="1248" t="s">
        <v>11</v>
      </c>
      <c r="B21" s="1249">
        <v>3151</v>
      </c>
      <c r="C21" s="322"/>
      <c r="D21" s="322"/>
      <c r="E21" s="322"/>
      <c r="F21" s="322"/>
    </row>
    <row r="22" spans="1:6">
      <c r="A22" s="1248" t="s">
        <v>12</v>
      </c>
      <c r="B22" s="1249">
        <v>16828</v>
      </c>
      <c r="C22" s="322"/>
      <c r="D22" s="322"/>
      <c r="E22" s="322"/>
      <c r="F22" s="322"/>
    </row>
    <row r="23" spans="1:6">
      <c r="A23" s="1248" t="s">
        <v>13</v>
      </c>
      <c r="B23" s="1249">
        <v>108</v>
      </c>
      <c r="C23" s="322"/>
      <c r="D23" s="322"/>
      <c r="E23" s="322"/>
      <c r="F23" s="322"/>
    </row>
    <row r="24" spans="1:6">
      <c r="A24" s="1248" t="s">
        <v>14</v>
      </c>
      <c r="B24" s="1249">
        <v>4</v>
      </c>
      <c r="C24" s="322"/>
      <c r="D24" s="322"/>
      <c r="E24" s="322"/>
      <c r="F24" s="322"/>
    </row>
    <row r="25" spans="1:6">
      <c r="A25" s="1248" t="s">
        <v>15</v>
      </c>
      <c r="B25" s="1249">
        <v>698</v>
      </c>
      <c r="C25" s="322"/>
      <c r="D25" s="322"/>
      <c r="E25" s="322"/>
      <c r="F25" s="322"/>
    </row>
    <row r="26" spans="1:6">
      <c r="A26" s="1248" t="s">
        <v>16</v>
      </c>
      <c r="B26" s="1249">
        <v>175</v>
      </c>
      <c r="C26" s="322"/>
      <c r="D26" s="322"/>
      <c r="E26" s="322"/>
      <c r="F26" s="322"/>
    </row>
    <row r="27" spans="1:6">
      <c r="A27" s="1248" t="s">
        <v>17</v>
      </c>
      <c r="B27" s="1249">
        <v>3</v>
      </c>
      <c r="C27" s="322"/>
      <c r="D27" s="322"/>
      <c r="E27" s="322"/>
      <c r="F27" s="322"/>
    </row>
    <row r="28" spans="1:6">
      <c r="A28" s="1248" t="s">
        <v>18</v>
      </c>
      <c r="B28" s="1250">
        <v>72340</v>
      </c>
      <c r="C28" s="322"/>
      <c r="D28" s="322"/>
      <c r="E28" s="322"/>
      <c r="F28" s="322"/>
    </row>
    <row r="29" spans="1:6">
      <c r="A29" s="1248" t="s">
        <v>884</v>
      </c>
      <c r="B29" s="1250">
        <v>51</v>
      </c>
      <c r="C29" s="322"/>
      <c r="D29" s="322"/>
      <c r="E29" s="322"/>
      <c r="F29" s="322"/>
    </row>
    <row r="30" spans="1:6">
      <c r="A30" s="1243" t="s">
        <v>885</v>
      </c>
      <c r="B30" s="1251">
        <v>27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13</v>
      </c>
      <c r="F36" s="1249">
        <v>180556</v>
      </c>
    </row>
    <row r="37" spans="1:6">
      <c r="A37" s="1248" t="s">
        <v>24</v>
      </c>
      <c r="B37" s="1248" t="s">
        <v>27</v>
      </c>
      <c r="C37" s="1249">
        <v>0</v>
      </c>
      <c r="D37" s="1249">
        <v>0</v>
      </c>
      <c r="E37" s="1249">
        <v>0</v>
      </c>
      <c r="F37" s="1249">
        <v>0</v>
      </c>
    </row>
    <row r="38" spans="1:6">
      <c r="A38" s="1248" t="s">
        <v>24</v>
      </c>
      <c r="B38" s="1248" t="s">
        <v>28</v>
      </c>
      <c r="C38" s="1249">
        <v>1</v>
      </c>
      <c r="D38" s="1249">
        <v>102499.70843</v>
      </c>
      <c r="E38" s="1249">
        <v>0</v>
      </c>
      <c r="F38" s="1249">
        <v>15669</v>
      </c>
    </row>
    <row r="39" spans="1:6">
      <c r="A39" s="1248" t="s">
        <v>29</v>
      </c>
      <c r="B39" s="1248" t="s">
        <v>30</v>
      </c>
      <c r="C39" s="1249">
        <v>9316</v>
      </c>
      <c r="D39" s="1249">
        <v>134124894.63</v>
      </c>
      <c r="E39" s="1249">
        <v>11862</v>
      </c>
      <c r="F39" s="1249">
        <v>38627100</v>
      </c>
    </row>
    <row r="40" spans="1:6">
      <c r="A40" s="1248" t="s">
        <v>29</v>
      </c>
      <c r="B40" s="1248" t="s">
        <v>28</v>
      </c>
      <c r="C40" s="1249">
        <v>0</v>
      </c>
      <c r="D40" s="1249">
        <v>0</v>
      </c>
      <c r="E40" s="1249">
        <v>0</v>
      </c>
      <c r="F40" s="1249">
        <v>0</v>
      </c>
    </row>
    <row r="41" spans="1:6">
      <c r="A41" s="1248" t="s">
        <v>31</v>
      </c>
      <c r="B41" s="1248" t="s">
        <v>32</v>
      </c>
      <c r="C41" s="1249">
        <v>196</v>
      </c>
      <c r="D41" s="1249">
        <v>8869666.9540999997</v>
      </c>
      <c r="E41" s="1249">
        <v>401</v>
      </c>
      <c r="F41" s="1249">
        <v>16174477</v>
      </c>
    </row>
    <row r="42" spans="1:6">
      <c r="A42" s="1248" t="s">
        <v>31</v>
      </c>
      <c r="B42" s="1248" t="s">
        <v>33</v>
      </c>
      <c r="C42" s="1249">
        <v>0</v>
      </c>
      <c r="D42" s="1249">
        <v>0</v>
      </c>
      <c r="E42" s="1249">
        <v>3</v>
      </c>
      <c r="F42" s="1249">
        <v>389776</v>
      </c>
    </row>
    <row r="43" spans="1:6">
      <c r="A43" s="1248" t="s">
        <v>31</v>
      </c>
      <c r="B43" s="1248" t="s">
        <v>34</v>
      </c>
      <c r="C43" s="1249">
        <v>0</v>
      </c>
      <c r="D43" s="1249">
        <v>0</v>
      </c>
      <c r="E43" s="1249">
        <v>6</v>
      </c>
      <c r="F43" s="1249">
        <v>191741</v>
      </c>
    </row>
    <row r="44" spans="1:6">
      <c r="A44" s="1248" t="s">
        <v>31</v>
      </c>
      <c r="B44" s="1248" t="s">
        <v>35</v>
      </c>
      <c r="C44" s="1249">
        <v>10</v>
      </c>
      <c r="D44" s="1249">
        <v>428060.50672</v>
      </c>
      <c r="E44" s="1249">
        <v>77</v>
      </c>
      <c r="F44" s="1249">
        <v>15884263</v>
      </c>
    </row>
    <row r="45" spans="1:6">
      <c r="A45" s="1248" t="s">
        <v>31</v>
      </c>
      <c r="B45" s="1248" t="s">
        <v>36</v>
      </c>
      <c r="C45" s="1249">
        <v>5</v>
      </c>
      <c r="D45" s="1249">
        <v>37177.006260000002</v>
      </c>
      <c r="E45" s="1249">
        <v>12</v>
      </c>
      <c r="F45" s="1249">
        <v>459384</v>
      </c>
    </row>
    <row r="46" spans="1:6">
      <c r="A46" s="1248" t="s">
        <v>31</v>
      </c>
      <c r="B46" s="1248" t="s">
        <v>37</v>
      </c>
      <c r="C46" s="1249">
        <v>0</v>
      </c>
      <c r="D46" s="1249">
        <v>0</v>
      </c>
      <c r="E46" s="1249">
        <v>0</v>
      </c>
      <c r="F46" s="1249">
        <v>0</v>
      </c>
    </row>
    <row r="47" spans="1:6">
      <c r="A47" s="1248" t="s">
        <v>31</v>
      </c>
      <c r="B47" s="1248" t="s">
        <v>38</v>
      </c>
      <c r="C47" s="1249">
        <v>7</v>
      </c>
      <c r="D47" s="1249">
        <v>376048.61442</v>
      </c>
      <c r="E47" s="1249">
        <v>10</v>
      </c>
      <c r="F47" s="1249">
        <v>336374</v>
      </c>
    </row>
    <row r="48" spans="1:6">
      <c r="A48" s="1248" t="s">
        <v>31</v>
      </c>
      <c r="B48" s="1248" t="s">
        <v>28</v>
      </c>
      <c r="C48" s="1249">
        <v>67</v>
      </c>
      <c r="D48" s="1249">
        <v>34368371.913000003</v>
      </c>
      <c r="E48" s="1249">
        <v>0</v>
      </c>
      <c r="F48" s="1249">
        <v>0</v>
      </c>
    </row>
    <row r="49" spans="1:6">
      <c r="A49" s="1248" t="s">
        <v>31</v>
      </c>
      <c r="B49" s="1248" t="s">
        <v>39</v>
      </c>
      <c r="C49" s="1249">
        <v>0</v>
      </c>
      <c r="D49" s="1249">
        <v>0</v>
      </c>
      <c r="E49" s="1249">
        <v>17</v>
      </c>
      <c r="F49" s="1249">
        <v>5699249</v>
      </c>
    </row>
    <row r="50" spans="1:6">
      <c r="A50" s="1248" t="s">
        <v>31</v>
      </c>
      <c r="B50" s="1248" t="s">
        <v>40</v>
      </c>
      <c r="C50" s="1249">
        <v>13</v>
      </c>
      <c r="D50" s="1249">
        <v>2148929.5441999999</v>
      </c>
      <c r="E50" s="1249">
        <v>38</v>
      </c>
      <c r="F50" s="1249">
        <v>41039667</v>
      </c>
    </row>
    <row r="51" spans="1:6">
      <c r="A51" s="1248" t="s">
        <v>41</v>
      </c>
      <c r="B51" s="1248" t="s">
        <v>42</v>
      </c>
      <c r="C51" s="1249">
        <v>19</v>
      </c>
      <c r="D51" s="1249">
        <v>8101280.5620999997</v>
      </c>
      <c r="E51" s="1249">
        <v>82</v>
      </c>
      <c r="F51" s="1249">
        <v>1987848</v>
      </c>
    </row>
    <row r="52" spans="1:6">
      <c r="A52" s="1248" t="s">
        <v>41</v>
      </c>
      <c r="B52" s="1248" t="s">
        <v>28</v>
      </c>
      <c r="C52" s="1249">
        <v>3</v>
      </c>
      <c r="D52" s="1249">
        <v>66418.744451999999</v>
      </c>
      <c r="E52" s="1249">
        <v>0</v>
      </c>
      <c r="F52" s="1249">
        <v>0</v>
      </c>
    </row>
    <row r="53" spans="1:6">
      <c r="A53" s="1248" t="s">
        <v>43</v>
      </c>
      <c r="B53" s="1248" t="s">
        <v>44</v>
      </c>
      <c r="C53" s="1249">
        <v>191</v>
      </c>
      <c r="D53" s="1249">
        <v>8482018.4809000008</v>
      </c>
      <c r="E53" s="1249">
        <v>0</v>
      </c>
      <c r="F53" s="1249">
        <v>0</v>
      </c>
    </row>
    <row r="54" spans="1:6">
      <c r="A54" s="1248" t="s">
        <v>45</v>
      </c>
      <c r="B54" s="1248" t="s">
        <v>46</v>
      </c>
      <c r="C54" s="1249">
        <v>0</v>
      </c>
      <c r="D54" s="1249">
        <v>0</v>
      </c>
      <c r="E54" s="1249">
        <v>171</v>
      </c>
      <c r="F54" s="1249">
        <v>2209275</v>
      </c>
    </row>
    <row r="55" spans="1:6">
      <c r="A55" s="1248" t="s">
        <v>45</v>
      </c>
      <c r="B55" s="1248" t="s">
        <v>28</v>
      </c>
      <c r="C55" s="1249">
        <v>0</v>
      </c>
      <c r="D55" s="1249">
        <v>0</v>
      </c>
      <c r="E55" s="1249">
        <v>0</v>
      </c>
      <c r="F55" s="1249">
        <v>0</v>
      </c>
    </row>
    <row r="56" spans="1:6">
      <c r="A56" s="1248" t="s">
        <v>47</v>
      </c>
      <c r="B56" s="1248" t="s">
        <v>28</v>
      </c>
      <c r="C56" s="1249">
        <v>0</v>
      </c>
      <c r="D56" s="1249">
        <v>0</v>
      </c>
      <c r="E56" s="1249">
        <v>234</v>
      </c>
      <c r="F56" s="1249">
        <v>1329890</v>
      </c>
    </row>
    <row r="57" spans="1:6">
      <c r="A57" s="1248" t="s">
        <v>48</v>
      </c>
      <c r="B57" s="1248" t="s">
        <v>49</v>
      </c>
      <c r="C57" s="1249">
        <v>108</v>
      </c>
      <c r="D57" s="1249">
        <v>5278850.7751000002</v>
      </c>
      <c r="E57" s="1249">
        <v>151</v>
      </c>
      <c r="F57" s="1249">
        <v>2779415</v>
      </c>
    </row>
    <row r="58" spans="1:6">
      <c r="A58" s="1248" t="s">
        <v>48</v>
      </c>
      <c r="B58" s="1248" t="s">
        <v>50</v>
      </c>
      <c r="C58" s="1249">
        <v>50</v>
      </c>
      <c r="D58" s="1249">
        <v>2066812.0730999999</v>
      </c>
      <c r="E58" s="1249">
        <v>68</v>
      </c>
      <c r="F58" s="1249">
        <v>5088554</v>
      </c>
    </row>
    <row r="59" spans="1:6">
      <c r="A59" s="1248" t="s">
        <v>48</v>
      </c>
      <c r="B59" s="1248" t="s">
        <v>51</v>
      </c>
      <c r="C59" s="1249">
        <v>202</v>
      </c>
      <c r="D59" s="1249">
        <v>6672212.1890000002</v>
      </c>
      <c r="E59" s="1249">
        <v>472</v>
      </c>
      <c r="F59" s="1249">
        <v>15701589</v>
      </c>
    </row>
    <row r="60" spans="1:6">
      <c r="A60" s="1248" t="s">
        <v>48</v>
      </c>
      <c r="B60" s="1248" t="s">
        <v>52</v>
      </c>
      <c r="C60" s="1249">
        <v>100</v>
      </c>
      <c r="D60" s="1249">
        <v>3844435.6151999999</v>
      </c>
      <c r="E60" s="1249">
        <v>124</v>
      </c>
      <c r="F60" s="1249">
        <v>2795039</v>
      </c>
    </row>
    <row r="61" spans="1:6">
      <c r="A61" s="1248" t="s">
        <v>48</v>
      </c>
      <c r="B61" s="1248" t="s">
        <v>53</v>
      </c>
      <c r="C61" s="1249">
        <v>241</v>
      </c>
      <c r="D61" s="1249">
        <v>7671192.1941</v>
      </c>
      <c r="E61" s="1249">
        <v>583</v>
      </c>
      <c r="F61" s="1249">
        <v>7662692</v>
      </c>
    </row>
    <row r="62" spans="1:6">
      <c r="A62" s="1248" t="s">
        <v>48</v>
      </c>
      <c r="B62" s="1248" t="s">
        <v>54</v>
      </c>
      <c r="C62" s="1249">
        <v>23</v>
      </c>
      <c r="D62" s="1249">
        <v>4611895.9543000003</v>
      </c>
      <c r="E62" s="1249">
        <v>24</v>
      </c>
      <c r="F62" s="1249">
        <v>1080487</v>
      </c>
    </row>
    <row r="63" spans="1:6">
      <c r="A63" s="1248" t="s">
        <v>48</v>
      </c>
      <c r="B63" s="1248" t="s">
        <v>28</v>
      </c>
      <c r="C63" s="1249">
        <v>104</v>
      </c>
      <c r="D63" s="1249">
        <v>6202105.9307000004</v>
      </c>
      <c r="E63" s="1249">
        <v>0</v>
      </c>
      <c r="F63" s="1249">
        <v>0</v>
      </c>
    </row>
    <row r="64" spans="1:6">
      <c r="A64" s="1248" t="s">
        <v>55</v>
      </c>
      <c r="B64" s="1248" t="s">
        <v>56</v>
      </c>
      <c r="C64" s="1249">
        <v>0</v>
      </c>
      <c r="D64" s="1249">
        <v>0</v>
      </c>
      <c r="E64" s="1249">
        <v>0</v>
      </c>
      <c r="F64" s="1249">
        <v>0</v>
      </c>
    </row>
    <row r="65" spans="1:6">
      <c r="A65" s="1248" t="s">
        <v>55</v>
      </c>
      <c r="B65" s="1248" t="s">
        <v>28</v>
      </c>
      <c r="C65" s="1249">
        <v>5</v>
      </c>
      <c r="D65" s="1249">
        <v>229306.36955999999</v>
      </c>
      <c r="E65" s="1249">
        <v>0</v>
      </c>
      <c r="F65" s="1249">
        <v>0</v>
      </c>
    </row>
    <row r="66" spans="1:6">
      <c r="A66" s="1248" t="s">
        <v>55</v>
      </c>
      <c r="B66" s="1248" t="s">
        <v>57</v>
      </c>
      <c r="C66" s="1249">
        <v>0</v>
      </c>
      <c r="D66" s="1249">
        <v>0</v>
      </c>
      <c r="E66" s="1249">
        <v>0</v>
      </c>
      <c r="F66" s="1249">
        <v>0</v>
      </c>
    </row>
    <row r="67" spans="1:6">
      <c r="A67" s="1248" t="s">
        <v>55</v>
      </c>
      <c r="B67" s="1248" t="s">
        <v>58</v>
      </c>
      <c r="C67" s="1249">
        <v>16</v>
      </c>
      <c r="D67" s="1249">
        <v>2457781.0547000002</v>
      </c>
      <c r="E67" s="1249">
        <v>0</v>
      </c>
      <c r="F67" s="1249">
        <v>0</v>
      </c>
    </row>
    <row r="68" spans="1:6">
      <c r="A68" s="1243" t="s">
        <v>55</v>
      </c>
      <c r="B68" s="1243" t="s">
        <v>59</v>
      </c>
      <c r="C68" s="1251">
        <v>11</v>
      </c>
      <c r="D68" s="1251">
        <v>1204865.8622000001</v>
      </c>
      <c r="E68" s="1251">
        <v>27</v>
      </c>
      <c r="F68" s="1251">
        <v>653353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48224957</v>
      </c>
      <c r="E73" s="439"/>
      <c r="F73" s="322"/>
    </row>
    <row r="74" spans="1:6">
      <c r="A74" s="1248" t="s">
        <v>63</v>
      </c>
      <c r="B74" s="1248" t="s">
        <v>626</v>
      </c>
      <c r="C74" s="1261" t="s">
        <v>628</v>
      </c>
      <c r="D74" s="1249">
        <v>6611423.0781880105</v>
      </c>
      <c r="E74" s="439"/>
      <c r="F74" s="322"/>
    </row>
    <row r="75" spans="1:6">
      <c r="A75" s="1248" t="s">
        <v>64</v>
      </c>
      <c r="B75" s="1248" t="s">
        <v>625</v>
      </c>
      <c r="C75" s="1261" t="s">
        <v>629</v>
      </c>
      <c r="D75" s="1249">
        <v>43801764</v>
      </c>
      <c r="E75" s="439"/>
      <c r="F75" s="322"/>
    </row>
    <row r="76" spans="1:6">
      <c r="A76" s="1248" t="s">
        <v>64</v>
      </c>
      <c r="B76" s="1248" t="s">
        <v>626</v>
      </c>
      <c r="C76" s="1261" t="s">
        <v>630</v>
      </c>
      <c r="D76" s="1249">
        <v>3826286.0781880105</v>
      </c>
      <c r="E76" s="439"/>
      <c r="F76" s="322"/>
    </row>
    <row r="77" spans="1:6">
      <c r="A77" s="1248" t="s">
        <v>65</v>
      </c>
      <c r="B77" s="1248" t="s">
        <v>625</v>
      </c>
      <c r="C77" s="1261" t="s">
        <v>631</v>
      </c>
      <c r="D77" s="1249">
        <v>44023536</v>
      </c>
      <c r="E77" s="439"/>
      <c r="F77" s="322"/>
    </row>
    <row r="78" spans="1:6">
      <c r="A78" s="1243" t="s">
        <v>65</v>
      </c>
      <c r="B78" s="1243" t="s">
        <v>626</v>
      </c>
      <c r="C78" s="1243" t="s">
        <v>632</v>
      </c>
      <c r="D78" s="1251">
        <v>7738718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181823.84362397899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22224.526317281263</v>
      </c>
      <c r="C90" s="322"/>
      <c r="D90" s="322"/>
      <c r="E90" s="322"/>
      <c r="F90" s="322"/>
    </row>
    <row r="91" spans="1:6">
      <c r="A91" s="1248" t="s">
        <v>67</v>
      </c>
      <c r="B91" s="1249">
        <v>4654.7426543535585</v>
      </c>
      <c r="C91" s="322"/>
      <c r="D91" s="322"/>
      <c r="E91" s="322"/>
      <c r="F91" s="322"/>
    </row>
    <row r="92" spans="1:6">
      <c r="A92" s="1243" t="s">
        <v>68</v>
      </c>
      <c r="B92" s="1244">
        <v>2918.1635894635056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6493</v>
      </c>
      <c r="C97" s="322"/>
      <c r="D97" s="322"/>
      <c r="E97" s="322"/>
      <c r="F97" s="322"/>
    </row>
    <row r="98" spans="1:6">
      <c r="A98" s="1248" t="s">
        <v>71</v>
      </c>
      <c r="B98" s="1249">
        <v>1</v>
      </c>
      <c r="C98" s="322"/>
      <c r="D98" s="322"/>
      <c r="E98" s="322"/>
      <c r="F98" s="322"/>
    </row>
    <row r="99" spans="1:6">
      <c r="A99" s="1248" t="s">
        <v>72</v>
      </c>
      <c r="B99" s="1249">
        <v>111</v>
      </c>
      <c r="C99" s="322"/>
      <c r="D99" s="322"/>
      <c r="E99" s="322"/>
      <c r="F99" s="322"/>
    </row>
    <row r="100" spans="1:6">
      <c r="A100" s="1248" t="s">
        <v>73</v>
      </c>
      <c r="B100" s="1249">
        <v>642</v>
      </c>
      <c r="C100" s="322"/>
      <c r="D100" s="322"/>
      <c r="E100" s="322"/>
      <c r="F100" s="322"/>
    </row>
    <row r="101" spans="1:6">
      <c r="A101" s="1248" t="s">
        <v>74</v>
      </c>
      <c r="B101" s="1249">
        <v>159</v>
      </c>
      <c r="C101" s="322"/>
      <c r="D101" s="322"/>
      <c r="E101" s="322"/>
      <c r="F101" s="322"/>
    </row>
    <row r="102" spans="1:6">
      <c r="A102" s="1248" t="s">
        <v>75</v>
      </c>
      <c r="B102" s="1249">
        <v>177</v>
      </c>
      <c r="C102" s="322"/>
      <c r="D102" s="322"/>
      <c r="E102" s="322"/>
      <c r="F102" s="322"/>
    </row>
    <row r="103" spans="1:6">
      <c r="A103" s="1248" t="s">
        <v>76</v>
      </c>
      <c r="B103" s="1249">
        <v>221</v>
      </c>
      <c r="C103" s="322"/>
      <c r="D103" s="322"/>
      <c r="E103" s="322"/>
      <c r="F103" s="322"/>
    </row>
    <row r="104" spans="1:6">
      <c r="A104" s="1248" t="s">
        <v>77</v>
      </c>
      <c r="B104" s="1249">
        <v>2623</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2</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12</v>
      </c>
      <c r="C123" s="1249">
        <v>24</v>
      </c>
      <c r="D123" s="322"/>
      <c r="E123" s="322"/>
      <c r="F123" s="322"/>
    </row>
    <row r="124" spans="1:6">
      <c r="A124" s="1248" t="s">
        <v>88</v>
      </c>
      <c r="B124" s="1249">
        <v>0</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297</v>
      </c>
      <c r="C129" s="322"/>
      <c r="D129" s="322"/>
      <c r="E129" s="322"/>
      <c r="F129" s="322"/>
    </row>
    <row r="130" spans="1:6">
      <c r="A130" s="1248" t="s">
        <v>284</v>
      </c>
      <c r="B130" s="1249">
        <v>3</v>
      </c>
      <c r="C130" s="322"/>
      <c r="D130" s="322"/>
      <c r="E130" s="322"/>
      <c r="F130" s="322"/>
    </row>
    <row r="131" spans="1:6">
      <c r="A131" s="1248" t="s">
        <v>285</v>
      </c>
      <c r="B131" s="1249">
        <v>3</v>
      </c>
      <c r="C131" s="322"/>
      <c r="D131" s="322"/>
      <c r="E131" s="322"/>
      <c r="F131" s="322"/>
    </row>
    <row r="132" spans="1:6">
      <c r="A132" s="1243" t="s">
        <v>286</v>
      </c>
      <c r="B132" s="1244">
        <v>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164132.12261876816</v>
      </c>
      <c r="C3" s="43" t="s">
        <v>163</v>
      </c>
      <c r="D3" s="43"/>
      <c r="E3" s="153"/>
      <c r="F3" s="43"/>
      <c r="G3" s="43"/>
      <c r="H3" s="43"/>
      <c r="I3" s="43"/>
      <c r="J3" s="43"/>
      <c r="K3" s="96"/>
    </row>
    <row r="4" spans="1:11">
      <c r="A4" s="348" t="s">
        <v>164</v>
      </c>
      <c r="B4" s="49">
        <f>IF(ISERROR('SEAP template'!B78+'SEAP template'!C78),0,'SEAP template'!B78+'SEAP template'!C78)</f>
        <v>33550.432561098329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891.88941176470587</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0.18125911271866924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1274.127731092437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5361.4285714285716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0.23764705882352941</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2209.2750000000001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2209.2750000000001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0.18125911271866924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400.451226251538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38627.1</v>
      </c>
      <c r="C5" s="17">
        <f>IF(ISERROR('Eigen informatie GS &amp; warmtenet'!B57),0,'Eigen informatie GS &amp; warmtenet'!B57)</f>
        <v>0</v>
      </c>
      <c r="D5" s="30">
        <f>(SUM(HH_hh_gas_kWh,HH_rest_gas_kWh)/1000)*0.902</f>
        <v>120980.65495626</v>
      </c>
      <c r="E5" s="17">
        <f>B32*B41</f>
        <v>1611.9980561414902</v>
      </c>
      <c r="F5" s="17">
        <f>B36*B45</f>
        <v>43827.03640324658</v>
      </c>
      <c r="G5" s="18"/>
      <c r="H5" s="17"/>
      <c r="I5" s="17"/>
      <c r="J5" s="17">
        <f>B35*B44+C35*C44</f>
        <v>808.24883182922508</v>
      </c>
      <c r="K5" s="17"/>
      <c r="L5" s="17"/>
      <c r="M5" s="17"/>
      <c r="N5" s="17">
        <f>B34*B43+C34*C43</f>
        <v>14914.935563046603</v>
      </c>
      <c r="O5" s="17">
        <f>B52*B53*B54</f>
        <v>504.95666666666671</v>
      </c>
      <c r="P5" s="17">
        <f>B60*B61*B62/1000-B60*B61*B62/1000/B63</f>
        <v>400.4</v>
      </c>
    </row>
    <row r="6" spans="1:16">
      <c r="A6" s="16" t="s">
        <v>586</v>
      </c>
      <c r="B6" s="716">
        <f>kWh_PV_kleiner_dan_10kW</f>
        <v>4654.7426543535585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43281.842654353561</v>
      </c>
      <c r="C8" s="21">
        <f>C5</f>
        <v>0</v>
      </c>
      <c r="D8" s="21">
        <f>D5</f>
        <v>120980.65495626</v>
      </c>
      <c r="E8" s="21">
        <f>E5</f>
        <v>1611.9980561414902</v>
      </c>
      <c r="F8" s="21">
        <f>F5</f>
        <v>43827.03640324658</v>
      </c>
      <c r="G8" s="21"/>
      <c r="H8" s="21"/>
      <c r="I8" s="21"/>
      <c r="J8" s="21">
        <f>J5</f>
        <v>808.24883182922508</v>
      </c>
      <c r="K8" s="21"/>
      <c r="L8" s="21">
        <f>L5</f>
        <v>0</v>
      </c>
      <c r="M8" s="21">
        <f>M5</f>
        <v>0</v>
      </c>
      <c r="N8" s="21">
        <f>N5</f>
        <v>14914.935563046603</v>
      </c>
      <c r="O8" s="21">
        <f>O5</f>
        <v>504.95666666666671</v>
      </c>
      <c r="P8" s="21">
        <f>P5</f>
        <v>400.4</v>
      </c>
    </row>
    <row r="9" spans="1:16">
      <c r="B9" s="19"/>
      <c r="C9" s="19"/>
      <c r="D9" s="253"/>
      <c r="E9" s="19"/>
      <c r="F9" s="19"/>
      <c r="G9" s="19"/>
      <c r="H9" s="19"/>
      <c r="I9" s="19"/>
      <c r="J9" s="19"/>
      <c r="K9" s="19"/>
      <c r="L9" s="19"/>
      <c r="M9" s="19"/>
      <c r="N9" s="19"/>
      <c r="O9" s="19"/>
      <c r="P9" s="19"/>
    </row>
    <row r="10" spans="1:16">
      <c r="A10" s="24" t="s">
        <v>207</v>
      </c>
      <c r="B10" s="25">
        <f ca="1">'EF ele_warmte'!B12</f>
        <v>0.18125911271866924</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7845.2283963571781</v>
      </c>
      <c r="C12" s="23">
        <f ca="1">C10*C8</f>
        <v>0</v>
      </c>
      <c r="D12" s="23">
        <f>D8*D10</f>
        <v>24438.092301164521</v>
      </c>
      <c r="E12" s="23">
        <f>E10*E8</f>
        <v>365.92355874411828</v>
      </c>
      <c r="F12" s="23">
        <f>F10*F8</f>
        <v>11701.818719666837</v>
      </c>
      <c r="G12" s="23"/>
      <c r="H12" s="23"/>
      <c r="I12" s="23"/>
      <c r="J12" s="23">
        <f>J10*J8</f>
        <v>286.12008646754566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11932</v>
      </c>
      <c r="C26" s="36"/>
      <c r="D26" s="224"/>
    </row>
    <row r="27" spans="1:5" s="15" customFormat="1">
      <c r="A27" s="226" t="s">
        <v>655</v>
      </c>
      <c r="B27" s="37">
        <f>SUM(HH_hh_gas_aantal,HH_rest_gas_aantal)</f>
        <v>9316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8850.2000000000007</v>
      </c>
      <c r="C31" s="34" t="s">
        <v>104</v>
      </c>
      <c r="D31" s="170"/>
    </row>
    <row r="32" spans="1:5">
      <c r="A32" s="167" t="s">
        <v>72</v>
      </c>
      <c r="B32" s="33">
        <f>IF((B21*($B$26-($B$27-0.05*$B$27)-$B$60))&lt;0,0,B21*($B$26-($B$27-0.05*$B$27)-$B$60))</f>
        <v>19.752648844923925</v>
      </c>
      <c r="C32" s="34" t="s">
        <v>104</v>
      </c>
      <c r="D32" s="170"/>
    </row>
    <row r="33" spans="1:6">
      <c r="A33" s="167" t="s">
        <v>73</v>
      </c>
      <c r="B33" s="33">
        <f>IF((B22*($B$26-($B$27-0.05*$B$27)-$B$60))&lt;0,0,B22*($B$26-($B$27-0.05*$B$27)-$B$60))</f>
        <v>687.85898851413822</v>
      </c>
      <c r="C33" s="34" t="s">
        <v>104</v>
      </c>
      <c r="D33" s="170"/>
    </row>
    <row r="34" spans="1:6">
      <c r="A34" s="167" t="s">
        <v>74</v>
      </c>
      <c r="B34" s="33">
        <f>IF((B24*($B$26-($B$27-0.05*$B$27)-$B$60))&lt;0,0,B24*($B$26-($B$27-0.05*$B$27)-$B$60))</f>
        <v>136.59469976758982</v>
      </c>
      <c r="C34" s="33">
        <f>B26*C24</f>
        <v>2442.0310456368757</v>
      </c>
      <c r="D34" s="229"/>
    </row>
    <row r="35" spans="1:6">
      <c r="A35" s="167" t="s">
        <v>76</v>
      </c>
      <c r="B35" s="33">
        <f>IF((B19*($B$26-($B$27-0.05*$B$27)-$B$60))&lt;0,0,B19*($B$26-($B$27-0.05*$B$27)-$B$60))</f>
        <v>66.706072780110617</v>
      </c>
      <c r="C35" s="33">
        <f>B35/2</f>
        <v>33.353036390055308</v>
      </c>
      <c r="D35" s="229"/>
    </row>
    <row r="36" spans="1:6">
      <c r="A36" s="167" t="s">
        <v>77</v>
      </c>
      <c r="B36" s="33">
        <f>IF((B18*($B$26-($B$27-0.05*$B$27)-$B$60))&lt;0,0,B18*($B$26-($B$27-0.05*$B$27)-$B$60))</f>
        <v>2149.8875900932376</v>
      </c>
      <c r="C36" s="34" t="s">
        <v>104</v>
      </c>
      <c r="D36" s="170"/>
    </row>
    <row r="37" spans="1:6">
      <c r="A37" s="167" t="s">
        <v>78</v>
      </c>
      <c r="B37" s="33">
        <f>B60</f>
        <v>21</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323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21</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35107.775999999998</v>
      </c>
      <c r="C5" s="17">
        <f>IF(ISERROR('Eigen informatie GS &amp; warmtenet'!B58),0,'Eigen informatie GS &amp; warmtenet'!B58)</f>
        <v>0</v>
      </c>
      <c r="D5" s="30">
        <f>SUM(D6:D12)</f>
        <v>32785.449267813005</v>
      </c>
      <c r="E5" s="17">
        <f>SUM(E6:E12)</f>
        <v>599.20334659517687</v>
      </c>
      <c r="F5" s="17">
        <f>SUM(F6:F12)</f>
        <v>6747.8415385708195</v>
      </c>
      <c r="G5" s="18"/>
      <c r="H5" s="17"/>
      <c r="I5" s="17"/>
      <c r="J5" s="17">
        <f>SUM(J6:J12)</f>
        <v>3.3670429078150446E-2</v>
      </c>
      <c r="K5" s="17"/>
      <c r="L5" s="17"/>
      <c r="M5" s="17"/>
      <c r="N5" s="17">
        <f>SUM(N6:N12)</f>
        <v>1257.2749880320641</v>
      </c>
      <c r="O5" s="17">
        <f>B38*B39*B40</f>
        <v>4.6900000000000004</v>
      </c>
      <c r="P5" s="17">
        <f>B46*B47*B48/1000-B46*B47*B48/1000/B49</f>
        <v>57.2</v>
      </c>
      <c r="R5" s="32"/>
    </row>
    <row r="6" spans="1:18">
      <c r="A6" s="32" t="s">
        <v>53</v>
      </c>
      <c r="B6" s="37">
        <f>B26</f>
        <v>7662.692</v>
      </c>
      <c r="C6" s="33"/>
      <c r="D6" s="37">
        <f>IF(ISERROR(TER_kantoor_gas_kWh/1000),0,TER_kantoor_gas_kWh/1000)*0.902</f>
        <v>6919.4153590781998</v>
      </c>
      <c r="E6" s="33">
        <f>$C$26*'E Balans VL '!I12/100/3.6*1000000</f>
        <v>4.36249765064024E-18</v>
      </c>
      <c r="F6" s="33">
        <f>$C$26*('E Balans VL '!L12+'E Balans VL '!N12)/100/3.6*1000000</f>
        <v>1035.8696988370348</v>
      </c>
      <c r="G6" s="34"/>
      <c r="H6" s="33"/>
      <c r="I6" s="33"/>
      <c r="J6" s="33">
        <f>$C$26*('E Balans VL '!D12+'E Balans VL '!E12)/100/3.6*1000000</f>
        <v>0</v>
      </c>
      <c r="K6" s="33"/>
      <c r="L6" s="33"/>
      <c r="M6" s="33"/>
      <c r="N6" s="33">
        <f>$C$26*'E Balans VL '!Y12/100/3.6*1000000</f>
        <v>9.6304468528776734</v>
      </c>
      <c r="O6" s="33"/>
      <c r="P6" s="33"/>
      <c r="R6" s="32"/>
    </row>
    <row r="7" spans="1:18">
      <c r="A7" s="32" t="s">
        <v>52</v>
      </c>
      <c r="B7" s="37">
        <f t="shared" ref="B7:B12" si="0">B27</f>
        <v>2795.0390000000002</v>
      </c>
      <c r="C7" s="33"/>
      <c r="D7" s="37">
        <f>IF(ISERROR(TER_horeca_gas_kWh/1000),0,TER_horeca_gas_kWh/1000)*0.902</f>
        <v>3467.6809249104003</v>
      </c>
      <c r="E7" s="33">
        <f>$C$27*'E Balans VL '!I9/100/3.6*1000000</f>
        <v>35.698335398563586</v>
      </c>
      <c r="F7" s="33">
        <f>$C$27*('E Balans VL '!L9+'E Balans VL '!N9)/100/3.6*1000000</f>
        <v>315.68709646307497</v>
      </c>
      <c r="G7" s="34"/>
      <c r="H7" s="33"/>
      <c r="I7" s="33"/>
      <c r="J7" s="33">
        <f>$C$27*('E Balans VL '!D9+'E Balans VL '!E9)/100/3.6*1000000</f>
        <v>0</v>
      </c>
      <c r="K7" s="33"/>
      <c r="L7" s="33"/>
      <c r="M7" s="33"/>
      <c r="N7" s="33">
        <f>$C$27*'E Balans VL '!Y9/100/3.6*1000000</f>
        <v>0.66606965797377293</v>
      </c>
      <c r="O7" s="33"/>
      <c r="P7" s="33"/>
      <c r="R7" s="32"/>
    </row>
    <row r="8" spans="1:18">
      <c r="A8" s="6" t="s">
        <v>51</v>
      </c>
      <c r="B8" s="37">
        <f t="shared" si="0"/>
        <v>15701.589</v>
      </c>
      <c r="C8" s="33"/>
      <c r="D8" s="37">
        <f>IF(ISERROR(TER_handel_gas_kWh/1000),0,TER_handel_gas_kWh/1000)*0.902</f>
        <v>6018.3353944780001</v>
      </c>
      <c r="E8" s="33">
        <f>$C$28*'E Balans VL '!I13/100/3.6*1000000</f>
        <v>512.78841127211138</v>
      </c>
      <c r="F8" s="33">
        <f>$C$28*('E Balans VL '!L13+'E Balans VL '!N13)/100/3.6*1000000</f>
        <v>2718.6025574160167</v>
      </c>
      <c r="G8" s="34"/>
      <c r="H8" s="33"/>
      <c r="I8" s="33"/>
      <c r="J8" s="33">
        <f>$C$28*('E Balans VL '!D13+'E Balans VL '!E13)/100/3.6*1000000</f>
        <v>0</v>
      </c>
      <c r="K8" s="33"/>
      <c r="L8" s="33"/>
      <c r="M8" s="33"/>
      <c r="N8" s="33">
        <f>$C$28*'E Balans VL '!Y13/100/3.6*1000000</f>
        <v>18.480334693828912</v>
      </c>
      <c r="O8" s="33"/>
      <c r="P8" s="33"/>
      <c r="R8" s="32"/>
    </row>
    <row r="9" spans="1:18">
      <c r="A9" s="32" t="s">
        <v>50</v>
      </c>
      <c r="B9" s="37">
        <f t="shared" si="0"/>
        <v>5088.5540000000001</v>
      </c>
      <c r="C9" s="33"/>
      <c r="D9" s="37">
        <f>IF(ISERROR(TER_gezond_gas_kWh/1000),0,TER_gezond_gas_kWh/1000)*0.902</f>
        <v>1864.2644899361999</v>
      </c>
      <c r="E9" s="33">
        <f>$C$29*'E Balans VL '!I10/100/3.6*1000000</f>
        <v>0.28415764129322396</v>
      </c>
      <c r="F9" s="33">
        <f>$C$29*('E Balans VL '!L10+'E Balans VL '!N10)/100/3.6*1000000</f>
        <v>674.21447486242596</v>
      </c>
      <c r="G9" s="34"/>
      <c r="H9" s="33"/>
      <c r="I9" s="33"/>
      <c r="J9" s="33">
        <f>$C$29*('E Balans VL '!D10+'E Balans VL '!E10)/100/3.6*1000000</f>
        <v>0</v>
      </c>
      <c r="K9" s="33"/>
      <c r="L9" s="33"/>
      <c r="M9" s="33"/>
      <c r="N9" s="33">
        <f>$C$29*'E Balans VL '!Y10/100/3.6*1000000</f>
        <v>53.935252223637455</v>
      </c>
      <c r="O9" s="33"/>
      <c r="P9" s="33"/>
      <c r="R9" s="32"/>
    </row>
    <row r="10" spans="1:18">
      <c r="A10" s="32" t="s">
        <v>49</v>
      </c>
      <c r="B10" s="37">
        <f t="shared" si="0"/>
        <v>2779.415</v>
      </c>
      <c r="C10" s="33"/>
      <c r="D10" s="37">
        <f>IF(ISERROR(TER_ander_gas_kWh/1000),0,TER_ander_gas_kWh/1000)*0.902</f>
        <v>4761.523399140201</v>
      </c>
      <c r="E10" s="33">
        <f>$C$30*'E Balans VL '!I14/100/3.6*1000000</f>
        <v>35.891767690848688</v>
      </c>
      <c r="F10" s="33">
        <f>$C$30*('E Balans VL '!L14+'E Balans VL '!N14)/100/3.6*1000000</f>
        <v>1834.6121476712051</v>
      </c>
      <c r="G10" s="34"/>
      <c r="H10" s="33"/>
      <c r="I10" s="33"/>
      <c r="J10" s="33">
        <f>$C$30*('E Balans VL '!D14+'E Balans VL '!E14)/100/3.6*1000000</f>
        <v>3.3670429078150446E-2</v>
      </c>
      <c r="K10" s="33"/>
      <c r="L10" s="33"/>
      <c r="M10" s="33"/>
      <c r="N10" s="33">
        <f>$C$30*'E Balans VL '!Y14/100/3.6*1000000</f>
        <v>1172.0679889214962</v>
      </c>
      <c r="O10" s="33"/>
      <c r="P10" s="33"/>
      <c r="R10" s="32"/>
    </row>
    <row r="11" spans="1:18">
      <c r="A11" s="32" t="s">
        <v>54</v>
      </c>
      <c r="B11" s="37">
        <f t="shared" si="0"/>
        <v>1080.4870000000001</v>
      </c>
      <c r="C11" s="33"/>
      <c r="D11" s="37">
        <f>IF(ISERROR(TER_onderwijs_gas_kWh/1000),0,TER_onderwijs_gas_kWh/1000)*0.902</f>
        <v>4159.9301507786004</v>
      </c>
      <c r="E11" s="33">
        <f>$C$31*'E Balans VL '!I11/100/3.6*1000000</f>
        <v>14.540674592359979</v>
      </c>
      <c r="F11" s="33">
        <f>$C$31*('E Balans VL '!L11+'E Balans VL '!N11)/100/3.6*1000000</f>
        <v>168.85556332106125</v>
      </c>
      <c r="G11" s="34"/>
      <c r="H11" s="33"/>
      <c r="I11" s="33"/>
      <c r="J11" s="33">
        <f>$C$31*('E Balans VL '!D11+'E Balans VL '!E11)/100/3.6*1000000</f>
        <v>0</v>
      </c>
      <c r="K11" s="33"/>
      <c r="L11" s="33"/>
      <c r="M11" s="33"/>
      <c r="N11" s="33">
        <f>$C$31*'E Balans VL '!Y11/100/3.6*1000000</f>
        <v>2.4948956822501334</v>
      </c>
      <c r="O11" s="33"/>
      <c r="P11" s="33"/>
      <c r="R11" s="32"/>
    </row>
    <row r="12" spans="1:18">
      <c r="A12" s="32" t="s">
        <v>249</v>
      </c>
      <c r="B12" s="37">
        <f t="shared" si="0"/>
        <v>0</v>
      </c>
      <c r="C12" s="33"/>
      <c r="D12" s="37">
        <f>IF(ISERROR(TER_rest_gas_kWh/1000),0,TER_rest_gas_kWh/1000)*0.902</f>
        <v>5594.2995494914003</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35107.775999999998</v>
      </c>
      <c r="C16" s="21">
        <f t="shared" ca="1" si="1"/>
        <v>0</v>
      </c>
      <c r="D16" s="21">
        <f t="shared" ca="1" si="1"/>
        <v>32785.449267813005</v>
      </c>
      <c r="E16" s="21">
        <f t="shared" si="1"/>
        <v>599.20334659517687</v>
      </c>
      <c r="F16" s="21">
        <f t="shared" ca="1" si="1"/>
        <v>6747.8415385708195</v>
      </c>
      <c r="G16" s="21">
        <f t="shared" si="1"/>
        <v>0</v>
      </c>
      <c r="H16" s="21">
        <f t="shared" si="1"/>
        <v>0</v>
      </c>
      <c r="I16" s="21">
        <f t="shared" si="1"/>
        <v>0</v>
      </c>
      <c r="J16" s="21">
        <f t="shared" si="1"/>
        <v>3.3670429078150446E-2</v>
      </c>
      <c r="K16" s="21">
        <f t="shared" si="1"/>
        <v>0</v>
      </c>
      <c r="L16" s="21">
        <f t="shared" ca="1" si="1"/>
        <v>0</v>
      </c>
      <c r="M16" s="21">
        <f t="shared" si="1"/>
        <v>0</v>
      </c>
      <c r="N16" s="21">
        <f t="shared" ca="1" si="1"/>
        <v>1257.2749880320641</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0.18125911271866924</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6363.6043272857905</v>
      </c>
      <c r="C20" s="23">
        <f t="shared" ref="C20:P20" ca="1" si="2">C16*C18</f>
        <v>0</v>
      </c>
      <c r="D20" s="23">
        <f t="shared" ca="1" si="2"/>
        <v>6622.660752098227</v>
      </c>
      <c r="E20" s="23">
        <f t="shared" si="2"/>
        <v>136.01915967710516</v>
      </c>
      <c r="F20" s="23">
        <f t="shared" ca="1" si="2"/>
        <v>1801.6736907984089</v>
      </c>
      <c r="G20" s="23">
        <f t="shared" si="2"/>
        <v>0</v>
      </c>
      <c r="H20" s="23">
        <f t="shared" si="2"/>
        <v>0</v>
      </c>
      <c r="I20" s="23">
        <f t="shared" si="2"/>
        <v>0</v>
      </c>
      <c r="J20" s="23">
        <f t="shared" si="2"/>
        <v>1.1919331893665258E-2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7662.692</v>
      </c>
      <c r="C26" s="39">
        <f>IF(ISERROR(B26*3.6/1000000/'E Balans VL '!Z12*100),0,B26*3.6/1000000/'E Balans VL '!Z12*100)</f>
        <v>0.20559930853246317</v>
      </c>
      <c r="D26" s="232" t="s">
        <v>621</v>
      </c>
      <c r="F26" s="6"/>
    </row>
    <row r="27" spans="1:18">
      <c r="A27" s="227" t="s">
        <v>52</v>
      </c>
      <c r="B27" s="33">
        <f>IF(ISERROR(TER_horeca_ele_kWh/1000),0,TER_horeca_ele_kWh/1000)</f>
        <v>2795.0390000000002</v>
      </c>
      <c r="C27" s="39">
        <f>IF(ISERROR(B27*3.6/1000000/'E Balans VL '!Z9*100),0,B27*3.6/1000000/'E Balans VL '!Z9*100)</f>
        <v>0.22204632468386343</v>
      </c>
      <c r="D27" s="232" t="s">
        <v>621</v>
      </c>
      <c r="F27" s="6"/>
    </row>
    <row r="28" spans="1:18">
      <c r="A28" s="167" t="s">
        <v>51</v>
      </c>
      <c r="B28" s="33">
        <f>IF(ISERROR(TER_handel_ele_kWh/1000),0,TER_handel_ele_kWh/1000)</f>
        <v>15701.589</v>
      </c>
      <c r="C28" s="39">
        <f>IF(ISERROR(B28*3.6/1000000/'E Balans VL '!Z13*100),0,B28*3.6/1000000/'E Balans VL '!Z13*100)</f>
        <v>0.45926962139718136</v>
      </c>
      <c r="D28" s="232" t="s">
        <v>621</v>
      </c>
      <c r="F28" s="6"/>
    </row>
    <row r="29" spans="1:18">
      <c r="A29" s="227" t="s">
        <v>50</v>
      </c>
      <c r="B29" s="33">
        <f>IF(ISERROR(TER_gezond_ele_kWh/1000),0,TER_gezond_ele_kWh/1000)</f>
        <v>5088.5540000000001</v>
      </c>
      <c r="C29" s="39">
        <f>IF(ISERROR(B29*3.6/1000000/'E Balans VL '!Z10*100),0,B29*3.6/1000000/'E Balans VL '!Z10*100)</f>
        <v>0.54007829144615971</v>
      </c>
      <c r="D29" s="232" t="s">
        <v>621</v>
      </c>
      <c r="F29" s="6"/>
    </row>
    <row r="30" spans="1:18">
      <c r="A30" s="227" t="s">
        <v>49</v>
      </c>
      <c r="B30" s="33">
        <f>IF(ISERROR(TER_ander_ele_kWh/1000),0,TER_ander_ele_kWh/1000)</f>
        <v>2779.415</v>
      </c>
      <c r="C30" s="39">
        <f>IF(ISERROR(B30*3.6/1000000/'E Balans VL '!Z14*100),0,B30*3.6/1000000/'E Balans VL '!Z14*100)</f>
        <v>0.12928065772327388</v>
      </c>
      <c r="D30" s="232" t="s">
        <v>621</v>
      </c>
      <c r="F30" s="6"/>
    </row>
    <row r="31" spans="1:18">
      <c r="A31" s="227" t="s">
        <v>54</v>
      </c>
      <c r="B31" s="33">
        <f>IF(ISERROR(TER_onderwijs_ele_kWh/1000),0,TER_onderwijs_ele_kWh/1000)</f>
        <v>1080.4870000000001</v>
      </c>
      <c r="C31" s="39">
        <f>IF(ISERROR(B31*3.6/1000000/'E Balans VL '!Z11*100),0,B31*3.6/1000000/'E Balans VL '!Z11*100)</f>
        <v>0.27042350223918576</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80174.930999999997</v>
      </c>
      <c r="C5" s="17">
        <f>IF(ISERROR('Eigen informatie GS &amp; warmtenet'!B59),0,'Eigen informatie GS &amp; warmtenet'!B59)</f>
        <v>0</v>
      </c>
      <c r="D5" s="30">
        <f>SUM(D6:D15)</f>
        <v>41697.885593907398</v>
      </c>
      <c r="E5" s="17">
        <f>SUM(E6:E15)</f>
        <v>5769.9928627019772</v>
      </c>
      <c r="F5" s="17">
        <f>SUM(F6:F15)</f>
        <v>30536.497307199879</v>
      </c>
      <c r="G5" s="18"/>
      <c r="H5" s="17"/>
      <c r="I5" s="17"/>
      <c r="J5" s="17">
        <f>SUM(J6:J15)</f>
        <v>23.053619594453249</v>
      </c>
      <c r="K5" s="17"/>
      <c r="L5" s="17"/>
      <c r="M5" s="17"/>
      <c r="N5" s="17">
        <f>SUM(N6:N15)</f>
        <v>17564.613288944958</v>
      </c>
      <c r="O5" s="17">
        <f>B43*B44*B45</f>
        <v>0</v>
      </c>
      <c r="P5" s="17">
        <f>B51*B52*B53/1000-B51*B52*B53/1000/B54</f>
        <v>0</v>
      </c>
      <c r="R5" s="32"/>
    </row>
    <row r="6" spans="1:18">
      <c r="A6" s="6" t="s">
        <v>34</v>
      </c>
      <c r="B6" s="37">
        <f>IF( ISERROR(IND_ijzer_ele_kWh/1000),0,IND_ijzer_ele_kWh/1000)</f>
        <v>191.74100000000001</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15884.263000000001</v>
      </c>
      <c r="C8" s="33"/>
      <c r="D8" s="37">
        <f>IF( ISERROR(IND_metaal_Gas_kWH/1000),0,IND_metaal_Gas_kWH/1000)*0.902</f>
        <v>386.11057706143998</v>
      </c>
      <c r="E8" s="33">
        <f>C30*'E Balans VL '!I18/100/3.6*1000000</f>
        <v>571.56383589300242</v>
      </c>
      <c r="F8" s="33">
        <f>C30*'E Balans VL '!L18/100/3.6*1000000+C30*'E Balans VL '!N18/100/3.6*1000000</f>
        <v>6936.1427396928984</v>
      </c>
      <c r="G8" s="34"/>
      <c r="H8" s="33"/>
      <c r="I8" s="33"/>
      <c r="J8" s="40">
        <f>C30*'E Balans VL '!D18/100/3.6*1000000+C30*'E Balans VL '!E18/100/3.6*1000000</f>
        <v>0</v>
      </c>
      <c r="K8" s="33"/>
      <c r="L8" s="33"/>
      <c r="M8" s="33"/>
      <c r="N8" s="33">
        <f>C30*'E Balans VL '!Y18/100/3.6*1000000</f>
        <v>796.10846705951053</v>
      </c>
      <c r="O8" s="33"/>
      <c r="P8" s="33"/>
      <c r="R8" s="32"/>
    </row>
    <row r="9" spans="1:18">
      <c r="A9" s="6" t="s">
        <v>32</v>
      </c>
      <c r="B9" s="37">
        <f t="shared" si="0"/>
        <v>16174.477000000001</v>
      </c>
      <c r="C9" s="33"/>
      <c r="D9" s="37">
        <f>IF( ISERROR(IND_andere_gas_kWh/1000),0,IND_andere_gas_kWh/1000)*0.902</f>
        <v>8000.4395925981999</v>
      </c>
      <c r="E9" s="33">
        <f>C31*'E Balans VL '!I19/100/3.6*1000000</f>
        <v>4127.3605726077785</v>
      </c>
      <c r="F9" s="33">
        <f>C31*'E Balans VL '!L19/100/3.6*1000000+C31*'E Balans VL '!N19/100/3.6*1000000</f>
        <v>13925.008976045508</v>
      </c>
      <c r="G9" s="34"/>
      <c r="H9" s="33"/>
      <c r="I9" s="33"/>
      <c r="J9" s="40">
        <f>C31*'E Balans VL '!D19/100/3.6*1000000+C31*'E Balans VL '!E19/100/3.6*1000000</f>
        <v>0</v>
      </c>
      <c r="K9" s="33"/>
      <c r="L9" s="33"/>
      <c r="M9" s="33"/>
      <c r="N9" s="33">
        <f>C31*'E Balans VL '!Y19/100/3.6*1000000</f>
        <v>1275.9769661588425</v>
      </c>
      <c r="O9" s="33"/>
      <c r="P9" s="33"/>
      <c r="R9" s="32"/>
    </row>
    <row r="10" spans="1:18">
      <c r="A10" s="6" t="s">
        <v>40</v>
      </c>
      <c r="B10" s="37">
        <f t="shared" si="0"/>
        <v>41039.667000000001</v>
      </c>
      <c r="C10" s="33"/>
      <c r="D10" s="37">
        <f>IF( ISERROR(IND_voed_gas_kWh/1000),0,IND_voed_gas_kWh/1000)*0.902</f>
        <v>1938.3344488683999</v>
      </c>
      <c r="E10" s="33">
        <f>C32*'E Balans VL '!I20/100/3.6*1000000</f>
        <v>1043.284687220749</v>
      </c>
      <c r="F10" s="33">
        <f>C32*'E Balans VL '!L20/100/3.6*1000000+C32*'E Balans VL '!N20/100/3.6*1000000</f>
        <v>9286.6605835694081</v>
      </c>
      <c r="G10" s="34"/>
      <c r="H10" s="33"/>
      <c r="I10" s="33"/>
      <c r="J10" s="40">
        <f>C32*'E Balans VL '!D20/100/3.6*1000000+C32*'E Balans VL '!E20/100/3.6*1000000</f>
        <v>0</v>
      </c>
      <c r="K10" s="33"/>
      <c r="L10" s="33"/>
      <c r="M10" s="33"/>
      <c r="N10" s="33">
        <f>C32*'E Balans VL '!Y20/100/3.6*1000000</f>
        <v>15390.987548929743</v>
      </c>
      <c r="O10" s="33"/>
      <c r="P10" s="33"/>
      <c r="R10" s="32"/>
    </row>
    <row r="11" spans="1:18">
      <c r="A11" s="6" t="s">
        <v>39</v>
      </c>
      <c r="B11" s="37">
        <f t="shared" si="0"/>
        <v>5699.2489999999998</v>
      </c>
      <c r="C11" s="33"/>
      <c r="D11" s="37">
        <f>IF( ISERROR(IND_textiel_gas_kWh/1000),0,IND_textiel_gas_kWh/1000)*0.902</f>
        <v>0</v>
      </c>
      <c r="E11" s="33">
        <f>C33*'E Balans VL '!I21/100/3.6*1000000</f>
        <v>15.645971163284997</v>
      </c>
      <c r="F11" s="33">
        <f>C33*'E Balans VL '!L21/100/3.6*1000000+C33*'E Balans VL '!N21/100/3.6*1000000</f>
        <v>302.15043014889983</v>
      </c>
      <c r="G11" s="34"/>
      <c r="H11" s="33"/>
      <c r="I11" s="33"/>
      <c r="J11" s="40">
        <f>C33*'E Balans VL '!D21/100/3.6*1000000+C33*'E Balans VL '!E21/100/3.6*1000000</f>
        <v>0</v>
      </c>
      <c r="K11" s="33"/>
      <c r="L11" s="33"/>
      <c r="M11" s="33"/>
      <c r="N11" s="33">
        <f>C33*'E Balans VL '!Y21/100/3.6*1000000</f>
        <v>11.454547363421774</v>
      </c>
      <c r="O11" s="33"/>
      <c r="P11" s="33"/>
      <c r="R11" s="32"/>
    </row>
    <row r="12" spans="1:18">
      <c r="A12" s="6" t="s">
        <v>36</v>
      </c>
      <c r="B12" s="37">
        <f t="shared" si="0"/>
        <v>459.38400000000001</v>
      </c>
      <c r="C12" s="33"/>
      <c r="D12" s="37">
        <f>IF( ISERROR(IND_min_gas_kWh/1000),0,IND_min_gas_kWh/1000)*0.902</f>
        <v>33.53365964652</v>
      </c>
      <c r="E12" s="33">
        <f>C34*'E Balans VL '!I22/100/3.6*1000000</f>
        <v>9.7607586816139964</v>
      </c>
      <c r="F12" s="33">
        <f>C34*'E Balans VL '!L22/100/3.6*1000000+C34*'E Balans VL '!N22/100/3.6*1000000</f>
        <v>74.952414515750391</v>
      </c>
      <c r="G12" s="34"/>
      <c r="H12" s="33"/>
      <c r="I12" s="33"/>
      <c r="J12" s="40">
        <f>C34*'E Balans VL '!D22/100/3.6*1000000+C34*'E Balans VL '!E22/100/3.6*1000000</f>
        <v>0.53522522995006183</v>
      </c>
      <c r="K12" s="33"/>
      <c r="L12" s="33"/>
      <c r="M12" s="33"/>
      <c r="N12" s="33">
        <f>C34*'E Balans VL '!Y22/100/3.6*1000000</f>
        <v>0</v>
      </c>
      <c r="O12" s="33"/>
      <c r="P12" s="33"/>
      <c r="R12" s="32"/>
    </row>
    <row r="13" spans="1:18">
      <c r="A13" s="6" t="s">
        <v>38</v>
      </c>
      <c r="B13" s="37">
        <f t="shared" si="0"/>
        <v>336.37400000000002</v>
      </c>
      <c r="C13" s="33"/>
      <c r="D13" s="37">
        <f>IF( ISERROR(IND_papier_gas_kWh/1000),0,IND_papier_gas_kWh/1000)*0.902</f>
        <v>339.19585020683996</v>
      </c>
      <c r="E13" s="33">
        <f>C35*'E Balans VL '!I23/100/3.6*1000000</f>
        <v>1.4426102288214688</v>
      </c>
      <c r="F13" s="33">
        <f>C35*'E Balans VL '!L23/100/3.6*1000000+C35*'E Balans VL '!N23/100/3.6*1000000</f>
        <v>8.4541226584324694</v>
      </c>
      <c r="G13" s="34"/>
      <c r="H13" s="33"/>
      <c r="I13" s="33"/>
      <c r="J13" s="40">
        <f>C35*'E Balans VL '!D23/100/3.6*1000000+C35*'E Balans VL '!E23/100/3.6*1000000</f>
        <v>22.518394364503187</v>
      </c>
      <c r="K13" s="33"/>
      <c r="L13" s="33"/>
      <c r="M13" s="33"/>
      <c r="N13" s="33">
        <f>C35*'E Balans VL '!Y23/100/3.6*1000000</f>
        <v>82.029391691484875</v>
      </c>
      <c r="O13" s="33"/>
      <c r="P13" s="33"/>
      <c r="R13" s="32"/>
    </row>
    <row r="14" spans="1:18">
      <c r="A14" s="6" t="s">
        <v>33</v>
      </c>
      <c r="B14" s="37">
        <f t="shared" si="0"/>
        <v>389.77600000000001</v>
      </c>
      <c r="C14" s="33"/>
      <c r="D14" s="37">
        <f>IF( ISERROR(IND_chemie_gas_kWh/1000),0,IND_chemie_gas_kWh/1000)*0.902</f>
        <v>0</v>
      </c>
      <c r="E14" s="33">
        <f>C36*'E Balans VL '!I24/100/3.6*1000000</f>
        <v>0.93442690672637063</v>
      </c>
      <c r="F14" s="33">
        <f>C36*'E Balans VL '!L24/100/3.6*1000000+C36*'E Balans VL '!N24/100/3.6*1000000</f>
        <v>3.1280405689795665</v>
      </c>
      <c r="G14" s="34"/>
      <c r="H14" s="33"/>
      <c r="I14" s="33"/>
      <c r="J14" s="40">
        <f>C36*'E Balans VL '!D24/100/3.6*1000000+C36*'E Balans VL '!E24/100/3.6*1000000</f>
        <v>0</v>
      </c>
      <c r="K14" s="33"/>
      <c r="L14" s="33"/>
      <c r="M14" s="33"/>
      <c r="N14" s="33">
        <f>C36*'E Balans VL '!Y24/100/3.6*1000000</f>
        <v>8.0563677419551265</v>
      </c>
      <c r="O14" s="33"/>
      <c r="P14" s="33"/>
      <c r="R14" s="32"/>
    </row>
    <row r="15" spans="1:18">
      <c r="A15" s="6" t="s">
        <v>259</v>
      </c>
      <c r="B15" s="37">
        <f t="shared" si="0"/>
        <v>0</v>
      </c>
      <c r="C15" s="33"/>
      <c r="D15" s="37">
        <f>IF( ISERROR(IND_rest_gas_kWh/1000),0,IND_rest_gas_kWh/1000)*0.902</f>
        <v>31000.271465526002</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80174.930999999997</v>
      </c>
      <c r="C18" s="21">
        <f>C5+C16</f>
        <v>0</v>
      </c>
      <c r="D18" s="21">
        <f>MAX((D5+D16),0)</f>
        <v>41697.885593907398</v>
      </c>
      <c r="E18" s="21">
        <f>MAX((E5+E16),0)</f>
        <v>5769.9928627019772</v>
      </c>
      <c r="F18" s="21">
        <f>MAX((F5+F16),0)</f>
        <v>30536.497307199879</v>
      </c>
      <c r="G18" s="21"/>
      <c r="H18" s="21"/>
      <c r="I18" s="21"/>
      <c r="J18" s="21">
        <f>MAX((J5+J16),0)</f>
        <v>23.053619594453249</v>
      </c>
      <c r="K18" s="21"/>
      <c r="L18" s="21">
        <f>MAX((L5+L16),0)</f>
        <v>0</v>
      </c>
      <c r="M18" s="21"/>
      <c r="N18" s="21">
        <f>MAX((N5+N16),0)</f>
        <v>17564.613288944958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0.18125911271866924</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14532.436855340527</v>
      </c>
      <c r="C22" s="23">
        <f ca="1">C18*C20</f>
        <v>0</v>
      </c>
      <c r="D22" s="23">
        <f>D18*D20</f>
        <v>8422.9728899692946</v>
      </c>
      <c r="E22" s="23">
        <f>E18*E20</f>
        <v>1309.7883798333489</v>
      </c>
      <c r="F22" s="23">
        <f>F18*F20</f>
        <v>8153.2447810223684</v>
      </c>
      <c r="G22" s="23"/>
      <c r="H22" s="23"/>
      <c r="I22" s="23"/>
      <c r="J22" s="23">
        <f>J18*J20</f>
        <v>8.1609813364364499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15884.263000000001</v>
      </c>
      <c r="C30" s="39">
        <f>IF(ISERROR(B30*3.6/1000000/'E Balans VL '!Z18*100),0,B30*3.6/1000000/'E Balans VL '!Z18*100)</f>
        <v>3.3655347800766502</v>
      </c>
      <c r="D30" s="232" t="s">
        <v>621</v>
      </c>
    </row>
    <row r="31" spans="1:18">
      <c r="A31" s="6" t="s">
        <v>32</v>
      </c>
      <c r="B31" s="37">
        <f>IF( ISERROR(IND_ander_ele_kWh/1000),0,IND_ander_ele_kWh/1000)</f>
        <v>16174.477000000001</v>
      </c>
      <c r="C31" s="39">
        <f>IF(ISERROR(B31*3.6/1000000/'E Balans VL '!Z19*100),0,B31*3.6/1000000/'E Balans VL '!Z19*100)</f>
        <v>0.68082046375102012</v>
      </c>
      <c r="D31" s="232" t="s">
        <v>621</v>
      </c>
    </row>
    <row r="32" spans="1:18">
      <c r="A32" s="167" t="s">
        <v>40</v>
      </c>
      <c r="B32" s="37">
        <f>IF( ISERROR(IND_voed_ele_kWh/1000),0,IND_voed_ele_kWh/1000)</f>
        <v>41039.667000000001</v>
      </c>
      <c r="C32" s="39">
        <f>IF(ISERROR(B32*3.6/1000000/'E Balans VL '!Z20*100),0,B32*3.6/1000000/'E Balans VL '!Z20*100)</f>
        <v>6.8561407042469034</v>
      </c>
      <c r="D32" s="232" t="s">
        <v>621</v>
      </c>
    </row>
    <row r="33" spans="1:5">
      <c r="A33" s="167" t="s">
        <v>39</v>
      </c>
      <c r="B33" s="37">
        <f>IF( ISERROR(IND_textiel_ele_kWh/1000),0,IND_textiel_ele_kWh/1000)</f>
        <v>5699.2489999999998</v>
      </c>
      <c r="C33" s="39">
        <f>IF(ISERROR(B33*3.6/1000000/'E Balans VL '!Z21*100),0,B33*3.6/1000000/'E Balans VL '!Z21*100)</f>
        <v>0.33273921171886051</v>
      </c>
      <c r="D33" s="232" t="s">
        <v>621</v>
      </c>
    </row>
    <row r="34" spans="1:5">
      <c r="A34" s="167" t="s">
        <v>36</v>
      </c>
      <c r="B34" s="37">
        <f>IF( ISERROR(IND_min_ele_kWh/1000),0,IND_min_ele_kWh/1000)</f>
        <v>459.38400000000001</v>
      </c>
      <c r="C34" s="39">
        <f>IF(ISERROR(B34*3.6/1000000/'E Balans VL '!Z22*100),0,B34*3.6/1000000/'E Balans VL '!Z22*100)</f>
        <v>5.8229399450594937E-2</v>
      </c>
      <c r="D34" s="232" t="s">
        <v>621</v>
      </c>
    </row>
    <row r="35" spans="1:5">
      <c r="A35" s="167" t="s">
        <v>38</v>
      </c>
      <c r="B35" s="37">
        <f>IF( ISERROR(IND_papier_ele_kWh/1000),0,IND_papier_ele_kWh/1000)</f>
        <v>336.37400000000002</v>
      </c>
      <c r="C35" s="39">
        <f>IF(ISERROR(B35*3.6/1000000/'E Balans VL '!Z22*100),0,B35*3.6/1000000/'E Balans VL '!Z22*100)</f>
        <v>4.263721855962424E-2</v>
      </c>
      <c r="D35" s="232" t="s">
        <v>621</v>
      </c>
    </row>
    <row r="36" spans="1:5">
      <c r="A36" s="167" t="s">
        <v>33</v>
      </c>
      <c r="B36" s="37">
        <f>IF( ISERROR(IND_chemie_ele_kWh/1000),0,IND_chemie_ele_kWh/1000)</f>
        <v>389.77600000000001</v>
      </c>
      <c r="C36" s="39">
        <f>IF(ISERROR(B36*3.6/1000000/'E Balans VL '!Z24*100),0,B36*3.6/1000000/'E Balans VL '!Z24*100)</f>
        <v>1.2659937049386583E-2</v>
      </c>
      <c r="D36" s="232" t="s">
        <v>621</v>
      </c>
    </row>
    <row r="37" spans="1:5">
      <c r="A37" s="167" t="s">
        <v>259</v>
      </c>
      <c r="B37" s="37">
        <f>IF( ISERROR(IND_rest_ele_kWh/1000),0,IND_rest_ele_kWh/1000)</f>
        <v>0</v>
      </c>
      <c r="C37" s="39">
        <f>IF(ISERROR(B37*3.6/1000000/'E Balans VL '!Z15*100),0,B37*3.6/1000000/'E Balans VL '!Z15*100)</f>
        <v>0</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1987.848</v>
      </c>
      <c r="C5" s="17">
        <f>'Eigen informatie GS &amp; warmtenet'!B60</f>
        <v>0</v>
      </c>
      <c r="D5" s="30">
        <f>IF(ISERROR(SUM(LB_lb_gas_kWh,LB_rest_gas_kWh)/1000),0,SUM(LB_lb_gas_kWh,LB_rest_gas_kWh)/1000)*0.902</f>
        <v>7367.2647745099039</v>
      </c>
      <c r="E5" s="17">
        <f>B17*'E Balans VL '!I25/3.6*1000000/100</f>
        <v>39.380978443877119</v>
      </c>
      <c r="F5" s="17">
        <f>B17*('E Balans VL '!L25/3.6*1000000+'E Balans VL '!N25/3.6*1000000)/100</f>
        <v>7249.120999926572</v>
      </c>
      <c r="G5" s="18"/>
      <c r="H5" s="17"/>
      <c r="I5" s="17"/>
      <c r="J5" s="17">
        <f>('E Balans VL '!D25+'E Balans VL '!E25)/3.6*1000000*landbouw!B17/100</f>
        <v>471.99520378443043</v>
      </c>
      <c r="K5" s="17"/>
      <c r="L5" s="17">
        <f>L6*(-1)</f>
        <v>0</v>
      </c>
      <c r="M5" s="17"/>
      <c r="N5" s="17">
        <f>N6*(-1)</f>
        <v>0</v>
      </c>
      <c r="O5" s="17"/>
      <c r="P5" s="17"/>
      <c r="R5" s="32"/>
    </row>
    <row r="6" spans="1:18">
      <c r="A6" s="16" t="s">
        <v>477</v>
      </c>
      <c r="B6" s="17" t="s">
        <v>204</v>
      </c>
      <c r="C6" s="17">
        <f>'lokale energieproductie'!O39+'lokale energieproductie'!O32</f>
        <v>5361.4285714285716</v>
      </c>
      <c r="D6" s="300">
        <f>('lokale energieproductie'!P32+'lokale energieproductie'!P39)*(-1)</f>
        <v>-10722.857142857143</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1987.848</v>
      </c>
      <c r="C8" s="21">
        <f>C5+C6</f>
        <v>5361.4285714285716</v>
      </c>
      <c r="D8" s="21">
        <f>MAX((D5+D6),0)</f>
        <v>0</v>
      </c>
      <c r="E8" s="21">
        <f>MAX((E5+E6),0)</f>
        <v>39.380978443877119</v>
      </c>
      <c r="F8" s="21">
        <f>MAX((F5+F6),0)</f>
        <v>7249.120999926572</v>
      </c>
      <c r="G8" s="21"/>
      <c r="H8" s="21"/>
      <c r="I8" s="21"/>
      <c r="J8" s="21">
        <f>MAX((J5+J6),0)</f>
        <v>471.99520378443043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0.18125911271866924</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360.31556469958122</v>
      </c>
      <c r="C12" s="23">
        <f ca="1">C8*C10</f>
        <v>1274.127731092437</v>
      </c>
      <c r="D12" s="23">
        <f>D8*D10</f>
        <v>0</v>
      </c>
      <c r="E12" s="23">
        <f>E8*E10</f>
        <v>8.9394821067601065</v>
      </c>
      <c r="F12" s="23">
        <f>F8*F10</f>
        <v>1935.5153069803948</v>
      </c>
      <c r="G12" s="23"/>
      <c r="H12" s="23"/>
      <c r="I12" s="23"/>
      <c r="J12" s="23">
        <f>J8*J10</f>
        <v>167.08630213968837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0.28029973520990531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71.675118575206426</v>
      </c>
      <c r="C26" s="242">
        <f>B26*'GWP N2O_CH4'!B5</f>
        <v>1505.177490079335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101.18690185288523</v>
      </c>
      <c r="C27" s="242">
        <f>B27*'GWP N2O_CH4'!B5</f>
        <v>2124.9249389105898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1.3356340394020312</v>
      </c>
      <c r="C28" s="242">
        <f>B28*'GWP N2O_CH4'!B4</f>
        <v>414.04655221462968</v>
      </c>
      <c r="D28" s="50"/>
    </row>
    <row r="29" spans="1:4">
      <c r="A29" s="41" t="s">
        <v>266</v>
      </c>
      <c r="B29" s="242">
        <f>B34*'ha_N2O bodem landbouw'!B4</f>
        <v>5.8929082309309138</v>
      </c>
      <c r="C29" s="242">
        <f>B29*'GWP N2O_CH4'!B4</f>
        <v>1826.8015515885832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1.3262245819080198E-3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1.3292465373123123E-4</v>
      </c>
      <c r="C5" s="427" t="s">
        <v>204</v>
      </c>
      <c r="D5" s="412">
        <f>SUM(D6:D11)</f>
        <v>2.222149874759869E-4</v>
      </c>
      <c r="E5" s="412">
        <f>SUM(E6:E11)</f>
        <v>1.0558167302485671E-3</v>
      </c>
      <c r="F5" s="425" t="s">
        <v>204</v>
      </c>
      <c r="G5" s="412">
        <f>SUM(G6:G11)</f>
        <v>0.45066854065099304</v>
      </c>
      <c r="H5" s="412">
        <f>SUM(H6:H11)</f>
        <v>7.7307325887137221E-2</v>
      </c>
      <c r="I5" s="427" t="s">
        <v>204</v>
      </c>
      <c r="J5" s="427" t="s">
        <v>204</v>
      </c>
      <c r="K5" s="427" t="s">
        <v>204</v>
      </c>
      <c r="L5" s="427" t="s">
        <v>204</v>
      </c>
      <c r="M5" s="412">
        <f>SUM(M6:M11)</f>
        <v>1.6494883729021019E-2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4.0701201743834212E-5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6.4134081971823256E-5</v>
      </c>
      <c r="E6" s="818">
        <f>vkm_GW_PW*SUMIFS(TableVerdeelsleutelVkm[LPG],TableVerdeelsleutelVkm[Voertuigtype],"Lichte voertuigen")*SUMIFS(TableECFTransport[EnergieConsumptieFactor (PJ per km)],TableECFTransport[Index],CONCATENATE($A6,"_LPG_LPG"))</f>
        <v>2.9275698436018183E-4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7.9044955538367503E-2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2.2319964543441165E-2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3.155694216199649E-3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1.8448994848478693E-6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6.3591590857390606E-2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1.2919173232510687E-6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2.0005993416547605E-3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4.4433899060401552E-5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9.9185588695408901E-5</v>
      </c>
      <c r="E8" s="415">
        <f>vkm_NGW_PW*SUMIFS(TableVerdeelsleutelVkm[LPG],TableVerdeelsleutelVkm[Voertuigtype],"Lichte voertuigen")*SUMIFS(TableECFTransport[EnergieConsumptieFactor (PJ per km)],TableECFTransport[Index],CONCATENATE($A8,"_LPG_LPG"))</f>
        <v>4.3194248244562776E-4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0.10873947800142883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3.3491486722104953E-2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4.4247044911158769E-3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1.0677146404105669E-6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4.7319838679029211E-2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9.0247183315154323E-7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1.4886862339061934E-3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4.2717470759420227E-5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5.8895316808754738E-5</v>
      </c>
      <c r="E10" s="415">
        <f>vkm_SW_PW*SUMIFS(TableVerdeelsleutelVkm[LPG],TableVerdeelsleutelVkm[Voertuigtype],"Lichte voertuigen")*SUMIFS(TableECFTransport[EnergieConsumptieFactor (PJ per km)],TableECFTransport[Index],CONCATENATE($A10,"_LPG_LPG"))</f>
        <v>3.3111726344275743E-4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8.1047307696830884E-2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2.1492123767887623E-2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3.1938750427564465E-3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2.1594680423168239E-6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7.092536987794594E-2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1.556464547066651E-6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2.2313244033880944E-3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36.923514925342005</v>
      </c>
      <c r="C14" s="21"/>
      <c r="D14" s="21">
        <f t="shared" ref="D14:M14" si="0">((D5)*10^9/3600)+D12</f>
        <v>61.726385409996354</v>
      </c>
      <c r="E14" s="21">
        <f t="shared" si="0"/>
        <v>293.28242506904644</v>
      </c>
      <c r="F14" s="21"/>
      <c r="G14" s="21">
        <f t="shared" si="0"/>
        <v>125185.70573638695</v>
      </c>
      <c r="H14" s="21">
        <f t="shared" si="0"/>
        <v>21474.257190871449</v>
      </c>
      <c r="I14" s="21"/>
      <c r="J14" s="21"/>
      <c r="K14" s="21"/>
      <c r="L14" s="21"/>
      <c r="M14" s="21">
        <f t="shared" si="0"/>
        <v>4581.9121469502825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0.18125911271866924</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6.6927235538220327</v>
      </c>
      <c r="C18" s="23"/>
      <c r="D18" s="23">
        <f t="shared" ref="D18:M18" si="1">D14*D16</f>
        <v>12.468729852819264</v>
      </c>
      <c r="E18" s="23">
        <f t="shared" si="1"/>
        <v>66.575110490673538</v>
      </c>
      <c r="F18" s="23"/>
      <c r="G18" s="23">
        <f t="shared" si="1"/>
        <v>33424.58343161532</v>
      </c>
      <c r="H18" s="23">
        <f t="shared" si="1"/>
        <v>5347.0900405269904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1.3091218161356824E-5</v>
      </c>
      <c r="C50" s="311">
        <f t="shared" ref="C50:P50" si="2">SUM(C51:C52)</f>
        <v>0</v>
      </c>
      <c r="D50" s="311">
        <f t="shared" si="2"/>
        <v>0</v>
      </c>
      <c r="E50" s="311">
        <f t="shared" si="2"/>
        <v>0</v>
      </c>
      <c r="F50" s="311">
        <f t="shared" si="2"/>
        <v>0</v>
      </c>
      <c r="G50" s="311">
        <f t="shared" si="2"/>
        <v>2.3341919140153094E-3</v>
      </c>
      <c r="H50" s="311">
        <f t="shared" si="2"/>
        <v>0</v>
      </c>
      <c r="I50" s="311">
        <f t="shared" si="2"/>
        <v>0</v>
      </c>
      <c r="J50" s="311">
        <f t="shared" si="2"/>
        <v>0</v>
      </c>
      <c r="K50" s="311">
        <f t="shared" si="2"/>
        <v>0</v>
      </c>
      <c r="L50" s="311">
        <f t="shared" si="2"/>
        <v>0</v>
      </c>
      <c r="M50" s="311">
        <f t="shared" si="2"/>
        <v>7.2864427416279343E-5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1.3091218161356824E-5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2.3341919140153094E-3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7.2864427416279343E-5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3.6364494892657846</v>
      </c>
      <c r="C54" s="21">
        <f t="shared" ref="C54:P54" si="3">(C50)*10^9/3600</f>
        <v>0</v>
      </c>
      <c r="D54" s="21">
        <f t="shared" si="3"/>
        <v>0</v>
      </c>
      <c r="E54" s="21">
        <f t="shared" si="3"/>
        <v>0</v>
      </c>
      <c r="F54" s="21">
        <f t="shared" si="3"/>
        <v>0</v>
      </c>
      <c r="G54" s="21">
        <f t="shared" si="3"/>
        <v>648.38664278203044</v>
      </c>
      <c r="H54" s="21">
        <f t="shared" si="3"/>
        <v>0</v>
      </c>
      <c r="I54" s="21">
        <f t="shared" si="3"/>
        <v>0</v>
      </c>
      <c r="J54" s="21">
        <f t="shared" si="3"/>
        <v>0</v>
      </c>
      <c r="K54" s="21">
        <f t="shared" si="3"/>
        <v>0</v>
      </c>
      <c r="L54" s="21">
        <f t="shared" si="3"/>
        <v>0</v>
      </c>
      <c r="M54" s="21">
        <f t="shared" si="3"/>
        <v>20.240118726744264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0.18125911271866924</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0.65913960787057402</v>
      </c>
      <c r="C58" s="23">
        <f t="shared" ref="C58:P58" ca="1" si="4">C54*C56</f>
        <v>0</v>
      </c>
      <c r="D58" s="23">
        <f t="shared" si="4"/>
        <v>0</v>
      </c>
      <c r="E58" s="23">
        <f t="shared" si="4"/>
        <v>0</v>
      </c>
      <c r="F58" s="23">
        <f t="shared" si="4"/>
        <v>0</v>
      </c>
      <c r="G58" s="23">
        <f t="shared" si="4"/>
        <v>173.11923362280214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22224.526317281263</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7572.906243817064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3753</v>
      </c>
      <c r="C8" s="534">
        <f>B48</f>
        <v>4415.2941176470586</v>
      </c>
      <c r="D8" s="961"/>
      <c r="E8" s="961">
        <f>E48</f>
        <v>0</v>
      </c>
      <c r="F8" s="962"/>
      <c r="G8" s="535"/>
      <c r="H8" s="961">
        <f>I48</f>
        <v>0</v>
      </c>
      <c r="I8" s="961">
        <f>G48+F48</f>
        <v>0</v>
      </c>
      <c r="J8" s="961">
        <f>H48+D48+C48</f>
        <v>0</v>
      </c>
      <c r="K8" s="961"/>
      <c r="L8" s="961"/>
      <c r="M8" s="961"/>
      <c r="N8" s="536"/>
      <c r="O8" s="537">
        <f>C8*$C$12+D8*$D$12+E8*$E$12+F8*$F$12+G8*$G$12+H8*$H$12+I8*$I$12+J8*$J$12</f>
        <v>891.88941176470587</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33550.432561098329</v>
      </c>
      <c r="C10" s="547">
        <f t="shared" ref="C10:L10" si="0">SUM(C8:C9)</f>
        <v>4415.2941176470586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891.88941176470587</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5361.4285714285716</v>
      </c>
      <c r="C17" s="559">
        <f>B49</f>
        <v>6307.5630252100837</v>
      </c>
      <c r="D17" s="560"/>
      <c r="E17" s="560">
        <f>E49</f>
        <v>0</v>
      </c>
      <c r="F17" s="967"/>
      <c r="G17" s="561"/>
      <c r="H17" s="559">
        <f>I49</f>
        <v>0</v>
      </c>
      <c r="I17" s="560">
        <f>G49+F49</f>
        <v>0</v>
      </c>
      <c r="J17" s="560">
        <f>H49+D49+C49</f>
        <v>0</v>
      </c>
      <c r="K17" s="560"/>
      <c r="L17" s="560"/>
      <c r="M17" s="560"/>
      <c r="N17" s="968"/>
      <c r="O17" s="562">
        <f>C17*$C$22+E17*$E$22+H17*$H$22+I17*$I$22+J17*$J$22+D17*$D$22+F17*$F$22+G17*$G$22+K17*$K$22+L17*$L$22</f>
        <v>1274.127731092437</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5361.4285714285716</v>
      </c>
      <c r="C20" s="546">
        <f>SUM(C17:C19)</f>
        <v>6307.5630252100837</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1274.127731092437</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36008</v>
      </c>
      <c r="C28" s="724">
        <v>8870</v>
      </c>
      <c r="D28" s="617"/>
      <c r="E28" s="616"/>
      <c r="F28" s="616"/>
      <c r="G28" s="616" t="s">
        <v>887</v>
      </c>
      <c r="H28" s="616" t="s">
        <v>888</v>
      </c>
      <c r="I28" s="616"/>
      <c r="J28" s="723"/>
      <c r="K28" s="723"/>
      <c r="L28" s="616" t="s">
        <v>889</v>
      </c>
      <c r="M28" s="616">
        <v>834</v>
      </c>
      <c r="N28" s="616">
        <v>3753</v>
      </c>
      <c r="O28" s="616">
        <v>5361.4285714285716</v>
      </c>
      <c r="P28" s="616">
        <v>10722.857142857143</v>
      </c>
      <c r="Q28" s="616">
        <v>0</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834</v>
      </c>
      <c r="N29" s="574">
        <f>SUM(N28:N28)</f>
        <v>3753</v>
      </c>
      <c r="O29" s="574">
        <f>SUM(O28:O28)</f>
        <v>5361.4285714285716</v>
      </c>
      <c r="P29" s="574">
        <f>SUM(P28:P28)</f>
        <v>10722.857142857143</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834</v>
      </c>
      <c r="N32" s="579">
        <f>SUMIF($AA$28:$AA$28,"landbouw",N28:N28)</f>
        <v>3753</v>
      </c>
      <c r="O32" s="579">
        <f>SUMIF($AA$28:$AA$28,"landbouw",O28:O28)</f>
        <v>5361.4285714285716</v>
      </c>
      <c r="P32" s="579">
        <f>SUMIF($AA$28:$AA$28,"landbouw",P28:P28)</f>
        <v>10722.857142857143</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0.58823529411764697</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4415.2941176470586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6307.5630252100837</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37317.050999999999</v>
      </c>
      <c r="D10" s="930">
        <f ca="1">tertiair!C16</f>
        <v>0</v>
      </c>
      <c r="E10" s="930">
        <f ca="1">tertiair!D16</f>
        <v>32785.449267813005</v>
      </c>
      <c r="F10" s="930">
        <f>tertiair!E16</f>
        <v>599.20334659517687</v>
      </c>
      <c r="G10" s="930">
        <f ca="1">tertiair!F16</f>
        <v>6747.8415385708195</v>
      </c>
      <c r="H10" s="930">
        <f>tertiair!G16</f>
        <v>0</v>
      </c>
      <c r="I10" s="930">
        <f>tertiair!H16</f>
        <v>0</v>
      </c>
      <c r="J10" s="930">
        <f>tertiair!I16</f>
        <v>0</v>
      </c>
      <c r="K10" s="930">
        <f>tertiair!J16</f>
        <v>3.3670429078150446E-2</v>
      </c>
      <c r="L10" s="930">
        <f>tertiair!K16</f>
        <v>0</v>
      </c>
      <c r="M10" s="930">
        <f ca="1">tertiair!L16</f>
        <v>0</v>
      </c>
      <c r="N10" s="930">
        <f>tertiair!M16</f>
        <v>0</v>
      </c>
      <c r="O10" s="930">
        <f ca="1">tertiair!N16</f>
        <v>1257.2749880320641</v>
      </c>
      <c r="P10" s="930">
        <f>tertiair!O16</f>
        <v>4.6900000000000004</v>
      </c>
      <c r="Q10" s="931">
        <f>tertiair!P16</f>
        <v>57.2</v>
      </c>
      <c r="R10" s="628">
        <f ca="1">SUM(C10:Q10)</f>
        <v>78768.743811440159</v>
      </c>
      <c r="S10" s="67"/>
    </row>
    <row r="11" spans="1:19" s="437" customFormat="1">
      <c r="A11" s="736" t="s">
        <v>214</v>
      </c>
      <c r="B11" s="741"/>
      <c r="C11" s="930">
        <f>huishoudens!B8</f>
        <v>43281.842654353561</v>
      </c>
      <c r="D11" s="930">
        <f>huishoudens!C8</f>
        <v>0</v>
      </c>
      <c r="E11" s="930">
        <f>huishoudens!D8</f>
        <v>120980.65495626</v>
      </c>
      <c r="F11" s="930">
        <f>huishoudens!E8</f>
        <v>1611.9980561414902</v>
      </c>
      <c r="G11" s="930">
        <f>huishoudens!F8</f>
        <v>43827.03640324658</v>
      </c>
      <c r="H11" s="930">
        <f>huishoudens!G8</f>
        <v>0</v>
      </c>
      <c r="I11" s="930">
        <f>huishoudens!H8</f>
        <v>0</v>
      </c>
      <c r="J11" s="930">
        <f>huishoudens!I8</f>
        <v>0</v>
      </c>
      <c r="K11" s="930">
        <f>huishoudens!J8</f>
        <v>808.24883182922508</v>
      </c>
      <c r="L11" s="930">
        <f>huishoudens!K8</f>
        <v>0</v>
      </c>
      <c r="M11" s="930">
        <f>huishoudens!L8</f>
        <v>0</v>
      </c>
      <c r="N11" s="930">
        <f>huishoudens!M8</f>
        <v>0</v>
      </c>
      <c r="O11" s="930">
        <f>huishoudens!N8</f>
        <v>14914.935563046603</v>
      </c>
      <c r="P11" s="930">
        <f>huishoudens!O8</f>
        <v>504.95666666666671</v>
      </c>
      <c r="Q11" s="931">
        <f>huishoudens!P8</f>
        <v>400.4</v>
      </c>
      <c r="R11" s="628">
        <f>SUM(C11:Q11)</f>
        <v>226330.07313154411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80174.930999999997</v>
      </c>
      <c r="D13" s="930">
        <f>industrie!C18</f>
        <v>0</v>
      </c>
      <c r="E13" s="930">
        <f>industrie!D18</f>
        <v>41697.885593907398</v>
      </c>
      <c r="F13" s="930">
        <f>industrie!E18</f>
        <v>5769.9928627019772</v>
      </c>
      <c r="G13" s="930">
        <f>industrie!F18</f>
        <v>30536.497307199879</v>
      </c>
      <c r="H13" s="930">
        <f>industrie!G18</f>
        <v>0</v>
      </c>
      <c r="I13" s="930">
        <f>industrie!H18</f>
        <v>0</v>
      </c>
      <c r="J13" s="930">
        <f>industrie!I18</f>
        <v>0</v>
      </c>
      <c r="K13" s="930">
        <f>industrie!J18</f>
        <v>23.053619594453249</v>
      </c>
      <c r="L13" s="930">
        <f>industrie!K18</f>
        <v>0</v>
      </c>
      <c r="M13" s="930">
        <f>industrie!L18</f>
        <v>0</v>
      </c>
      <c r="N13" s="930">
        <f>industrie!M18</f>
        <v>0</v>
      </c>
      <c r="O13" s="930">
        <f>industrie!N18</f>
        <v>17564.613288944958</v>
      </c>
      <c r="P13" s="930">
        <f>industrie!O18</f>
        <v>0</v>
      </c>
      <c r="Q13" s="931">
        <f>industrie!P18</f>
        <v>0</v>
      </c>
      <c r="R13" s="628">
        <f>SUM(C13:Q13)</f>
        <v>175766.97367234869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160773.82465435355</v>
      </c>
      <c r="D16" s="660">
        <f t="shared" ref="D16:R16" ca="1" si="0">SUM(D9:D15)</f>
        <v>0</v>
      </c>
      <c r="E16" s="660">
        <f t="shared" ca="1" si="0"/>
        <v>195463.98981798039</v>
      </c>
      <c r="F16" s="660">
        <f t="shared" si="0"/>
        <v>7981.1942654386439</v>
      </c>
      <c r="G16" s="660">
        <f t="shared" ca="1" si="0"/>
        <v>81111.375249017277</v>
      </c>
      <c r="H16" s="660">
        <f t="shared" si="0"/>
        <v>0</v>
      </c>
      <c r="I16" s="660">
        <f t="shared" si="0"/>
        <v>0</v>
      </c>
      <c r="J16" s="660">
        <f t="shared" si="0"/>
        <v>0</v>
      </c>
      <c r="K16" s="660">
        <f t="shared" si="0"/>
        <v>831.33612185275649</v>
      </c>
      <c r="L16" s="660">
        <f t="shared" si="0"/>
        <v>0</v>
      </c>
      <c r="M16" s="660">
        <f t="shared" ca="1" si="0"/>
        <v>0</v>
      </c>
      <c r="N16" s="660">
        <f t="shared" si="0"/>
        <v>0</v>
      </c>
      <c r="O16" s="660">
        <f t="shared" ca="1" si="0"/>
        <v>33736.82384002363</v>
      </c>
      <c r="P16" s="660">
        <f t="shared" si="0"/>
        <v>509.6466666666667</v>
      </c>
      <c r="Q16" s="660">
        <f t="shared" si="0"/>
        <v>457.59999999999997</v>
      </c>
      <c r="R16" s="660">
        <f t="shared" ca="1" si="0"/>
        <v>480865.79061533289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3.6364494892657846</v>
      </c>
      <c r="D19" s="930">
        <f>transport!C54</f>
        <v>0</v>
      </c>
      <c r="E19" s="930">
        <f>transport!D54</f>
        <v>0</v>
      </c>
      <c r="F19" s="930">
        <f>transport!E54</f>
        <v>0</v>
      </c>
      <c r="G19" s="930">
        <f>transport!F54</f>
        <v>0</v>
      </c>
      <c r="H19" s="930">
        <f>transport!G54</f>
        <v>648.38664278203044</v>
      </c>
      <c r="I19" s="930">
        <f>transport!H54</f>
        <v>0</v>
      </c>
      <c r="J19" s="930">
        <f>transport!I54</f>
        <v>0</v>
      </c>
      <c r="K19" s="930">
        <f>transport!J54</f>
        <v>0</v>
      </c>
      <c r="L19" s="930">
        <f>transport!K54</f>
        <v>0</v>
      </c>
      <c r="M19" s="930">
        <f>transport!L54</f>
        <v>0</v>
      </c>
      <c r="N19" s="930">
        <f>transport!M54</f>
        <v>20.240118726744264</v>
      </c>
      <c r="O19" s="930">
        <f>transport!N54</f>
        <v>0</v>
      </c>
      <c r="P19" s="930">
        <f>transport!O54</f>
        <v>0</v>
      </c>
      <c r="Q19" s="931">
        <f>transport!P54</f>
        <v>0</v>
      </c>
      <c r="R19" s="628">
        <f>SUM(C19:Q19)</f>
        <v>672.26321099804056</v>
      </c>
      <c r="S19" s="67"/>
    </row>
    <row r="20" spans="1:19" s="437" customFormat="1">
      <c r="A20" s="736" t="s">
        <v>296</v>
      </c>
      <c r="B20" s="741"/>
      <c r="C20" s="930">
        <f>transport!B14</f>
        <v>36.923514925342005</v>
      </c>
      <c r="D20" s="930">
        <f>transport!C14</f>
        <v>0</v>
      </c>
      <c r="E20" s="930">
        <f>transport!D14</f>
        <v>61.726385409996354</v>
      </c>
      <c r="F20" s="930">
        <f>transport!E14</f>
        <v>293.28242506904644</v>
      </c>
      <c r="G20" s="930">
        <f>transport!F14</f>
        <v>0</v>
      </c>
      <c r="H20" s="930">
        <f>transport!G14</f>
        <v>125185.70573638695</v>
      </c>
      <c r="I20" s="930">
        <f>transport!H14</f>
        <v>21474.257190871449</v>
      </c>
      <c r="J20" s="930">
        <f>transport!I14</f>
        <v>0</v>
      </c>
      <c r="K20" s="930">
        <f>transport!J14</f>
        <v>0</v>
      </c>
      <c r="L20" s="930">
        <f>transport!K14</f>
        <v>0</v>
      </c>
      <c r="M20" s="930">
        <f>transport!L14</f>
        <v>0</v>
      </c>
      <c r="N20" s="930">
        <f>transport!M14</f>
        <v>4581.9121469502825</v>
      </c>
      <c r="O20" s="930">
        <f>transport!N14</f>
        <v>0</v>
      </c>
      <c r="P20" s="930">
        <f>transport!O14</f>
        <v>0</v>
      </c>
      <c r="Q20" s="931">
        <f>transport!P14</f>
        <v>0</v>
      </c>
      <c r="R20" s="628">
        <f>SUM(C20:Q20)</f>
        <v>151633.80739961308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40.559964414607791</v>
      </c>
      <c r="D22" s="739">
        <f t="shared" ref="D22:R22" si="1">SUM(D18:D21)</f>
        <v>0</v>
      </c>
      <c r="E22" s="739">
        <f t="shared" si="1"/>
        <v>61.726385409996354</v>
      </c>
      <c r="F22" s="739">
        <f t="shared" si="1"/>
        <v>293.28242506904644</v>
      </c>
      <c r="G22" s="739">
        <f t="shared" si="1"/>
        <v>0</v>
      </c>
      <c r="H22" s="739">
        <f t="shared" si="1"/>
        <v>125834.09237916899</v>
      </c>
      <c r="I22" s="739">
        <f t="shared" si="1"/>
        <v>21474.257190871449</v>
      </c>
      <c r="J22" s="739">
        <f t="shared" si="1"/>
        <v>0</v>
      </c>
      <c r="K22" s="739">
        <f t="shared" si="1"/>
        <v>0</v>
      </c>
      <c r="L22" s="739">
        <f t="shared" si="1"/>
        <v>0</v>
      </c>
      <c r="M22" s="739">
        <f t="shared" si="1"/>
        <v>0</v>
      </c>
      <c r="N22" s="739">
        <f t="shared" si="1"/>
        <v>4602.1522656770267</v>
      </c>
      <c r="O22" s="739">
        <f t="shared" si="1"/>
        <v>0</v>
      </c>
      <c r="P22" s="739">
        <f t="shared" si="1"/>
        <v>0</v>
      </c>
      <c r="Q22" s="739">
        <f t="shared" si="1"/>
        <v>0</v>
      </c>
      <c r="R22" s="739">
        <f t="shared" si="1"/>
        <v>152306.07061061112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1987.848</v>
      </c>
      <c r="D24" s="930">
        <f>+landbouw!C8</f>
        <v>5361.4285714285716</v>
      </c>
      <c r="E24" s="930">
        <f>+landbouw!D8</f>
        <v>0</v>
      </c>
      <c r="F24" s="930">
        <f>+landbouw!E8</f>
        <v>39.380978443877119</v>
      </c>
      <c r="G24" s="930">
        <f>+landbouw!F8</f>
        <v>7249.120999926572</v>
      </c>
      <c r="H24" s="930">
        <f>+landbouw!G8</f>
        <v>0</v>
      </c>
      <c r="I24" s="930">
        <f>+landbouw!H8</f>
        <v>0</v>
      </c>
      <c r="J24" s="930">
        <f>+landbouw!I8</f>
        <v>0</v>
      </c>
      <c r="K24" s="930">
        <f>+landbouw!J8</f>
        <v>471.99520378443043</v>
      </c>
      <c r="L24" s="930">
        <f>+landbouw!K8</f>
        <v>0</v>
      </c>
      <c r="M24" s="930">
        <f>+landbouw!L8</f>
        <v>0</v>
      </c>
      <c r="N24" s="930">
        <f>+landbouw!M8</f>
        <v>0</v>
      </c>
      <c r="O24" s="930">
        <f>+landbouw!N8</f>
        <v>0</v>
      </c>
      <c r="P24" s="930">
        <f>+landbouw!O8</f>
        <v>0</v>
      </c>
      <c r="Q24" s="931">
        <f>+landbouw!P8</f>
        <v>0</v>
      </c>
      <c r="R24" s="628">
        <f>SUM(C24:Q24)</f>
        <v>15109.773753583451</v>
      </c>
      <c r="S24" s="67"/>
    </row>
    <row r="25" spans="1:19" s="437" customFormat="1" ht="15" thickBot="1">
      <c r="A25" s="758" t="s">
        <v>788</v>
      </c>
      <c r="B25" s="933"/>
      <c r="C25" s="934">
        <f>IF(Onbekend_ele_kWh="---",0,Onbekend_ele_kWh)/1000+IF(REST_rest_ele_kWh="---",0,REST_rest_ele_kWh)/1000</f>
        <v>1329.89</v>
      </c>
      <c r="D25" s="934"/>
      <c r="E25" s="934">
        <f>IF(onbekend_gas_kWh="---",0,onbekend_gas_kWh)/1000+IF(REST_rest_gas_kWh="---",0,REST_rest_gas_kWh)/1000</f>
        <v>8482.0184809000002</v>
      </c>
      <c r="F25" s="934"/>
      <c r="G25" s="934"/>
      <c r="H25" s="934"/>
      <c r="I25" s="934"/>
      <c r="J25" s="934"/>
      <c r="K25" s="934"/>
      <c r="L25" s="934"/>
      <c r="M25" s="934"/>
      <c r="N25" s="934"/>
      <c r="O25" s="934"/>
      <c r="P25" s="934"/>
      <c r="Q25" s="935"/>
      <c r="R25" s="628">
        <f>SUM(C25:Q25)</f>
        <v>9811.9084808999996</v>
      </c>
      <c r="S25" s="67"/>
    </row>
    <row r="26" spans="1:19" s="437" customFormat="1" ht="15.75" thickBot="1">
      <c r="A26" s="633" t="s">
        <v>789</v>
      </c>
      <c r="B26" s="744"/>
      <c r="C26" s="739">
        <f>SUM(C24:C25)</f>
        <v>3317.7380000000003</v>
      </c>
      <c r="D26" s="739">
        <f t="shared" ref="D26:R26" si="2">SUM(D24:D25)</f>
        <v>5361.4285714285716</v>
      </c>
      <c r="E26" s="739">
        <f t="shared" si="2"/>
        <v>8482.0184809000002</v>
      </c>
      <c r="F26" s="739">
        <f t="shared" si="2"/>
        <v>39.380978443877119</v>
      </c>
      <c r="G26" s="739">
        <f t="shared" si="2"/>
        <v>7249.120999926572</v>
      </c>
      <c r="H26" s="739">
        <f t="shared" si="2"/>
        <v>0</v>
      </c>
      <c r="I26" s="739">
        <f t="shared" si="2"/>
        <v>0</v>
      </c>
      <c r="J26" s="739">
        <f t="shared" si="2"/>
        <v>0</v>
      </c>
      <c r="K26" s="739">
        <f t="shared" si="2"/>
        <v>471.99520378443043</v>
      </c>
      <c r="L26" s="739">
        <f t="shared" si="2"/>
        <v>0</v>
      </c>
      <c r="M26" s="739">
        <f t="shared" si="2"/>
        <v>0</v>
      </c>
      <c r="N26" s="739">
        <f t="shared" si="2"/>
        <v>0</v>
      </c>
      <c r="O26" s="739">
        <f t="shared" si="2"/>
        <v>0</v>
      </c>
      <c r="P26" s="739">
        <f t="shared" si="2"/>
        <v>0</v>
      </c>
      <c r="Q26" s="739">
        <f t="shared" si="2"/>
        <v>0</v>
      </c>
      <c r="R26" s="739">
        <f t="shared" si="2"/>
        <v>24921.682234483451</v>
      </c>
      <c r="S26" s="67"/>
    </row>
    <row r="27" spans="1:19" s="437" customFormat="1" ht="17.25" thickTop="1" thickBot="1">
      <c r="A27" s="634" t="s">
        <v>109</v>
      </c>
      <c r="B27" s="732"/>
      <c r="C27" s="635">
        <f ca="1">C22+C16+C26</f>
        <v>164132.12261876816</v>
      </c>
      <c r="D27" s="635">
        <f t="shared" ref="D27:R27" ca="1" si="3">D22+D16+D26</f>
        <v>5361.4285714285716</v>
      </c>
      <c r="E27" s="635">
        <f t="shared" ca="1" si="3"/>
        <v>204007.73468429039</v>
      </c>
      <c r="F27" s="635">
        <f t="shared" si="3"/>
        <v>8313.8576689515667</v>
      </c>
      <c r="G27" s="635">
        <f t="shared" ca="1" si="3"/>
        <v>88360.496248943848</v>
      </c>
      <c r="H27" s="635">
        <f t="shared" si="3"/>
        <v>125834.09237916899</v>
      </c>
      <c r="I27" s="635">
        <f t="shared" si="3"/>
        <v>21474.257190871449</v>
      </c>
      <c r="J27" s="635">
        <f t="shared" si="3"/>
        <v>0</v>
      </c>
      <c r="K27" s="635">
        <f t="shared" si="3"/>
        <v>1303.3313256371869</v>
      </c>
      <c r="L27" s="635">
        <f t="shared" si="3"/>
        <v>0</v>
      </c>
      <c r="M27" s="635">
        <f t="shared" ca="1" si="3"/>
        <v>0</v>
      </c>
      <c r="N27" s="635">
        <f t="shared" si="3"/>
        <v>4602.1522656770267</v>
      </c>
      <c r="O27" s="635">
        <f t="shared" ca="1" si="3"/>
        <v>33736.82384002363</v>
      </c>
      <c r="P27" s="635">
        <f t="shared" si="3"/>
        <v>509.6466666666667</v>
      </c>
      <c r="Q27" s="635">
        <f t="shared" si="3"/>
        <v>457.59999999999997</v>
      </c>
      <c r="R27" s="635">
        <f t="shared" ca="1" si="3"/>
        <v>658093.54346042743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6764.0555535373287</v>
      </c>
      <c r="D40" s="930">
        <f ca="1">tertiair!C20</f>
        <v>0</v>
      </c>
      <c r="E40" s="930">
        <f ca="1">tertiair!D20</f>
        <v>6622.660752098227</v>
      </c>
      <c r="F40" s="930">
        <f>tertiair!E20</f>
        <v>136.01915967710516</v>
      </c>
      <c r="G40" s="930">
        <f ca="1">tertiair!F20</f>
        <v>1801.6736907984089</v>
      </c>
      <c r="H40" s="930">
        <f>tertiair!G20</f>
        <v>0</v>
      </c>
      <c r="I40" s="930">
        <f>tertiair!H20</f>
        <v>0</v>
      </c>
      <c r="J40" s="930">
        <f>tertiair!I20</f>
        <v>0</v>
      </c>
      <c r="K40" s="930">
        <f>tertiair!J20</f>
        <v>1.1919331893665258E-2</v>
      </c>
      <c r="L40" s="930">
        <f>tertiair!K20</f>
        <v>0</v>
      </c>
      <c r="M40" s="930">
        <f ca="1">tertiair!L20</f>
        <v>0</v>
      </c>
      <c r="N40" s="930">
        <f>tertiair!M20</f>
        <v>0</v>
      </c>
      <c r="O40" s="930">
        <f ca="1">tertiair!N20</f>
        <v>0</v>
      </c>
      <c r="P40" s="930">
        <f>tertiair!O20</f>
        <v>0</v>
      </c>
      <c r="Q40" s="702">
        <f>tertiair!P20</f>
        <v>0</v>
      </c>
      <c r="R40" s="777">
        <f t="shared" ca="1" si="4"/>
        <v>15324.421075442964</v>
      </c>
    </row>
    <row r="41" spans="1:18">
      <c r="A41" s="749" t="s">
        <v>214</v>
      </c>
      <c r="B41" s="756"/>
      <c r="C41" s="930">
        <f ca="1">huishoudens!B12</f>
        <v>7845.2283963571781</v>
      </c>
      <c r="D41" s="930">
        <f ca="1">huishoudens!C12</f>
        <v>0</v>
      </c>
      <c r="E41" s="930">
        <f>huishoudens!D12</f>
        <v>24438.092301164521</v>
      </c>
      <c r="F41" s="930">
        <f>huishoudens!E12</f>
        <v>365.92355874411828</v>
      </c>
      <c r="G41" s="930">
        <f>huishoudens!F12</f>
        <v>11701.818719666837</v>
      </c>
      <c r="H41" s="930">
        <f>huishoudens!G12</f>
        <v>0</v>
      </c>
      <c r="I41" s="930">
        <f>huishoudens!H12</f>
        <v>0</v>
      </c>
      <c r="J41" s="930">
        <f>huishoudens!I12</f>
        <v>0</v>
      </c>
      <c r="K41" s="930">
        <f>huishoudens!J12</f>
        <v>286.12008646754566</v>
      </c>
      <c r="L41" s="930">
        <f>huishoudens!K12</f>
        <v>0</v>
      </c>
      <c r="M41" s="930">
        <f>huishoudens!L12</f>
        <v>0</v>
      </c>
      <c r="N41" s="930">
        <f>huishoudens!M12</f>
        <v>0</v>
      </c>
      <c r="O41" s="930">
        <f>huishoudens!N12</f>
        <v>0</v>
      </c>
      <c r="P41" s="930">
        <f>huishoudens!O12</f>
        <v>0</v>
      </c>
      <c r="Q41" s="702">
        <f>huishoudens!P12</f>
        <v>0</v>
      </c>
      <c r="R41" s="777">
        <f t="shared" ca="1" si="4"/>
        <v>44637.183062400203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14532.436855340527</v>
      </c>
      <c r="D43" s="930">
        <f ca="1">industrie!C22</f>
        <v>0</v>
      </c>
      <c r="E43" s="930">
        <f>industrie!D22</f>
        <v>8422.9728899692946</v>
      </c>
      <c r="F43" s="930">
        <f>industrie!E22</f>
        <v>1309.7883798333489</v>
      </c>
      <c r="G43" s="930">
        <f>industrie!F22</f>
        <v>8153.2447810223684</v>
      </c>
      <c r="H43" s="930">
        <f>industrie!G22</f>
        <v>0</v>
      </c>
      <c r="I43" s="930">
        <f>industrie!H22</f>
        <v>0</v>
      </c>
      <c r="J43" s="930">
        <f>industrie!I22</f>
        <v>0</v>
      </c>
      <c r="K43" s="930">
        <f>industrie!J22</f>
        <v>8.1609813364364499</v>
      </c>
      <c r="L43" s="930">
        <f>industrie!K22</f>
        <v>0</v>
      </c>
      <c r="M43" s="930">
        <f>industrie!L22</f>
        <v>0</v>
      </c>
      <c r="N43" s="930">
        <f>industrie!M22</f>
        <v>0</v>
      </c>
      <c r="O43" s="930">
        <f>industrie!N22</f>
        <v>0</v>
      </c>
      <c r="P43" s="930">
        <f>industrie!O22</f>
        <v>0</v>
      </c>
      <c r="Q43" s="702">
        <f>industrie!P22</f>
        <v>0</v>
      </c>
      <c r="R43" s="776">
        <f t="shared" ca="1" si="4"/>
        <v>32426.603887501977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29141.720805235032</v>
      </c>
      <c r="D46" s="660">
        <f t="shared" ref="D46:Q46" ca="1" si="5">SUM(D39:D45)</f>
        <v>0</v>
      </c>
      <c r="E46" s="660">
        <f t="shared" ca="1" si="5"/>
        <v>39483.725943232042</v>
      </c>
      <c r="F46" s="660">
        <f t="shared" si="5"/>
        <v>1811.7310982545723</v>
      </c>
      <c r="G46" s="660">
        <f t="shared" ca="1" si="5"/>
        <v>21656.737191487613</v>
      </c>
      <c r="H46" s="660">
        <f t="shared" si="5"/>
        <v>0</v>
      </c>
      <c r="I46" s="660">
        <f t="shared" si="5"/>
        <v>0</v>
      </c>
      <c r="J46" s="660">
        <f t="shared" si="5"/>
        <v>0</v>
      </c>
      <c r="K46" s="660">
        <f t="shared" si="5"/>
        <v>294.29298713587582</v>
      </c>
      <c r="L46" s="660">
        <f t="shared" si="5"/>
        <v>0</v>
      </c>
      <c r="M46" s="660">
        <f t="shared" ca="1" si="5"/>
        <v>0</v>
      </c>
      <c r="N46" s="660">
        <f t="shared" si="5"/>
        <v>0</v>
      </c>
      <c r="O46" s="660">
        <f t="shared" ca="1" si="5"/>
        <v>0</v>
      </c>
      <c r="P46" s="660">
        <f t="shared" si="5"/>
        <v>0</v>
      </c>
      <c r="Q46" s="660">
        <f t="shared" si="5"/>
        <v>0</v>
      </c>
      <c r="R46" s="660">
        <f ca="1">SUM(R39:R45)</f>
        <v>92388.208025345142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0.65913960787057402</v>
      </c>
      <c r="D49" s="930">
        <f ca="1">transport!C58</f>
        <v>0</v>
      </c>
      <c r="E49" s="930">
        <f>transport!D58</f>
        <v>0</v>
      </c>
      <c r="F49" s="930">
        <f>transport!E58</f>
        <v>0</v>
      </c>
      <c r="G49" s="930">
        <f>transport!F58</f>
        <v>0</v>
      </c>
      <c r="H49" s="930">
        <f>transport!G58</f>
        <v>173.11923362280214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173.77837323067271</v>
      </c>
    </row>
    <row r="50" spans="1:18">
      <c r="A50" s="752" t="s">
        <v>296</v>
      </c>
      <c r="B50" s="762"/>
      <c r="C50" s="631">
        <f ca="1">transport!B18</f>
        <v>6.6927235538220327</v>
      </c>
      <c r="D50" s="631">
        <f>transport!C18</f>
        <v>0</v>
      </c>
      <c r="E50" s="631">
        <f>transport!D18</f>
        <v>12.468729852819264</v>
      </c>
      <c r="F50" s="631">
        <f>transport!E18</f>
        <v>66.575110490673538</v>
      </c>
      <c r="G50" s="631">
        <f>transport!F18</f>
        <v>0</v>
      </c>
      <c r="H50" s="631">
        <f>transport!G18</f>
        <v>33424.58343161532</v>
      </c>
      <c r="I50" s="631">
        <f>transport!H18</f>
        <v>5347.0900405269904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38857.410036039626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7.3518631616926067</v>
      </c>
      <c r="D52" s="660">
        <f t="shared" ref="D52:Q52" ca="1" si="6">SUM(D48:D51)</f>
        <v>0</v>
      </c>
      <c r="E52" s="660">
        <f t="shared" si="6"/>
        <v>12.468729852819264</v>
      </c>
      <c r="F52" s="660">
        <f t="shared" si="6"/>
        <v>66.575110490673538</v>
      </c>
      <c r="G52" s="660">
        <f t="shared" si="6"/>
        <v>0</v>
      </c>
      <c r="H52" s="660">
        <f t="shared" si="6"/>
        <v>33597.702665238125</v>
      </c>
      <c r="I52" s="660">
        <f t="shared" si="6"/>
        <v>5347.0900405269904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39031.188409270297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360.31556469958122</v>
      </c>
      <c r="D54" s="631">
        <f ca="1">+landbouw!C12</f>
        <v>1274.127731092437</v>
      </c>
      <c r="E54" s="631">
        <f>+landbouw!D12</f>
        <v>0</v>
      </c>
      <c r="F54" s="631">
        <f>+landbouw!E12</f>
        <v>8.9394821067601065</v>
      </c>
      <c r="G54" s="631">
        <f>+landbouw!F12</f>
        <v>1935.5153069803948</v>
      </c>
      <c r="H54" s="631">
        <f>+landbouw!G12</f>
        <v>0</v>
      </c>
      <c r="I54" s="631">
        <f>+landbouw!H12</f>
        <v>0</v>
      </c>
      <c r="J54" s="631">
        <f>+landbouw!I12</f>
        <v>0</v>
      </c>
      <c r="K54" s="631">
        <f>+landbouw!J12</f>
        <v>167.08630213968837</v>
      </c>
      <c r="L54" s="631">
        <f>+landbouw!K12</f>
        <v>0</v>
      </c>
      <c r="M54" s="631">
        <f>+landbouw!L12</f>
        <v>0</v>
      </c>
      <c r="N54" s="631">
        <f>+landbouw!M12</f>
        <v>0</v>
      </c>
      <c r="O54" s="631">
        <f>+landbouw!N12</f>
        <v>0</v>
      </c>
      <c r="P54" s="631">
        <f>+landbouw!O12</f>
        <v>0</v>
      </c>
      <c r="Q54" s="632">
        <f>+landbouw!P12</f>
        <v>0</v>
      </c>
      <c r="R54" s="659">
        <f ca="1">SUM(C54:Q54)</f>
        <v>3745.984387018862</v>
      </c>
    </row>
    <row r="55" spans="1:18" ht="15" thickBot="1">
      <c r="A55" s="752" t="s">
        <v>788</v>
      </c>
      <c r="B55" s="762"/>
      <c r="C55" s="631">
        <f ca="1">C25*'EF ele_warmte'!B12</f>
        <v>241.05468141343104</v>
      </c>
      <c r="D55" s="631"/>
      <c r="E55" s="631">
        <f>E25*EF_CO2_aardgas</f>
        <v>1713.3677331418</v>
      </c>
      <c r="F55" s="631"/>
      <c r="G55" s="631"/>
      <c r="H55" s="631"/>
      <c r="I55" s="631"/>
      <c r="J55" s="631"/>
      <c r="K55" s="631"/>
      <c r="L55" s="631"/>
      <c r="M55" s="631"/>
      <c r="N55" s="631"/>
      <c r="O55" s="631"/>
      <c r="P55" s="631"/>
      <c r="Q55" s="632"/>
      <c r="R55" s="659">
        <f ca="1">SUM(C55:Q55)</f>
        <v>1954.4224145552312</v>
      </c>
    </row>
    <row r="56" spans="1:18" ht="15.75" thickBot="1">
      <c r="A56" s="750" t="s">
        <v>789</v>
      </c>
      <c r="B56" s="763"/>
      <c r="C56" s="660">
        <f ca="1">SUM(C54:C55)</f>
        <v>601.37024611301229</v>
      </c>
      <c r="D56" s="660">
        <f t="shared" ref="D56:Q56" ca="1" si="7">SUM(D54:D55)</f>
        <v>1274.127731092437</v>
      </c>
      <c r="E56" s="660">
        <f t="shared" si="7"/>
        <v>1713.3677331418</v>
      </c>
      <c r="F56" s="660">
        <f t="shared" si="7"/>
        <v>8.9394821067601065</v>
      </c>
      <c r="G56" s="660">
        <f t="shared" si="7"/>
        <v>1935.5153069803948</v>
      </c>
      <c r="H56" s="660">
        <f t="shared" si="7"/>
        <v>0</v>
      </c>
      <c r="I56" s="660">
        <f t="shared" si="7"/>
        <v>0</v>
      </c>
      <c r="J56" s="660">
        <f t="shared" si="7"/>
        <v>0</v>
      </c>
      <c r="K56" s="660">
        <f t="shared" si="7"/>
        <v>167.08630213968837</v>
      </c>
      <c r="L56" s="660">
        <f t="shared" si="7"/>
        <v>0</v>
      </c>
      <c r="M56" s="660">
        <f t="shared" si="7"/>
        <v>0</v>
      </c>
      <c r="N56" s="660">
        <f t="shared" si="7"/>
        <v>0</v>
      </c>
      <c r="O56" s="660">
        <f t="shared" si="7"/>
        <v>0</v>
      </c>
      <c r="P56" s="660">
        <f t="shared" si="7"/>
        <v>0</v>
      </c>
      <c r="Q56" s="661">
        <f t="shared" si="7"/>
        <v>0</v>
      </c>
      <c r="R56" s="662">
        <f ca="1">SUM(R54:R55)</f>
        <v>5700.4068015740932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29750.442914509738</v>
      </c>
      <c r="D61" s="668">
        <f t="shared" ref="D61:Q61" ca="1" si="8">D46+D52+D56</f>
        <v>1274.127731092437</v>
      </c>
      <c r="E61" s="668">
        <f t="shared" ca="1" si="8"/>
        <v>41209.562406226665</v>
      </c>
      <c r="F61" s="668">
        <f t="shared" si="8"/>
        <v>1887.245690852006</v>
      </c>
      <c r="G61" s="668">
        <f t="shared" ca="1" si="8"/>
        <v>23592.252498468009</v>
      </c>
      <c r="H61" s="668">
        <f t="shared" si="8"/>
        <v>33597.702665238125</v>
      </c>
      <c r="I61" s="668">
        <f t="shared" si="8"/>
        <v>5347.0900405269904</v>
      </c>
      <c r="J61" s="668">
        <f t="shared" si="8"/>
        <v>0</v>
      </c>
      <c r="K61" s="668">
        <f t="shared" si="8"/>
        <v>461.37928927556419</v>
      </c>
      <c r="L61" s="668">
        <f t="shared" si="8"/>
        <v>0</v>
      </c>
      <c r="M61" s="668">
        <f t="shared" ca="1" si="8"/>
        <v>0</v>
      </c>
      <c r="N61" s="668">
        <f t="shared" si="8"/>
        <v>0</v>
      </c>
      <c r="O61" s="668">
        <f t="shared" ca="1" si="8"/>
        <v>0</v>
      </c>
      <c r="P61" s="668">
        <f t="shared" si="8"/>
        <v>0</v>
      </c>
      <c r="Q61" s="668">
        <f t="shared" si="8"/>
        <v>0</v>
      </c>
      <c r="R61" s="668">
        <f ca="1">R46+R52+R56</f>
        <v>137119.80323618953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0.18125911271866924</v>
      </c>
      <c r="D63" s="709">
        <f t="shared" ca="1" si="9"/>
        <v>0.23764705882352941</v>
      </c>
      <c r="E63" s="941">
        <f t="shared" ca="1" si="9"/>
        <v>0.20200000000000004</v>
      </c>
      <c r="F63" s="709">
        <f t="shared" si="9"/>
        <v>0.22700000000000004</v>
      </c>
      <c r="G63" s="709">
        <f t="shared" ca="1" si="9"/>
        <v>0.26700000000000002</v>
      </c>
      <c r="H63" s="709">
        <f t="shared" si="9"/>
        <v>0.26700000000000007</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22224.526317281263</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7572.906243817064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3753</v>
      </c>
      <c r="D76" s="951">
        <f>'lokale energieproductie'!C8</f>
        <v>4415.2941176470586</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891.88941176470587</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29797.432561098329</v>
      </c>
      <c r="C78" s="683">
        <f>SUM(C72:C77)</f>
        <v>3753</v>
      </c>
      <c r="D78" s="684">
        <f t="shared" ref="D78:H78" si="10">SUM(D76:D77)</f>
        <v>4415.2941176470586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891.88941176470587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5361.4285714285716</v>
      </c>
      <c r="D87" s="705">
        <f>'lokale energieproductie'!C17</f>
        <v>6307.5630252100837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1274.127731092437</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5361.4285714285716</v>
      </c>
      <c r="D90" s="683">
        <f t="shared" ref="D90:H90" si="12">SUM(D87:D89)</f>
        <v>6307.5630252100837</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1274.127731092437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43281.842654353561</v>
      </c>
      <c r="C4" s="441">
        <f>huishoudens!C8</f>
        <v>0</v>
      </c>
      <c r="D4" s="441">
        <f>huishoudens!D8</f>
        <v>120980.65495626</v>
      </c>
      <c r="E4" s="441">
        <f>huishoudens!E8</f>
        <v>1611.9980561414902</v>
      </c>
      <c r="F4" s="441">
        <f>huishoudens!F8</f>
        <v>43827.03640324658</v>
      </c>
      <c r="G4" s="441">
        <f>huishoudens!G8</f>
        <v>0</v>
      </c>
      <c r="H4" s="441">
        <f>huishoudens!H8</f>
        <v>0</v>
      </c>
      <c r="I4" s="441">
        <f>huishoudens!I8</f>
        <v>0</v>
      </c>
      <c r="J4" s="441">
        <f>huishoudens!J8</f>
        <v>808.24883182922508</v>
      </c>
      <c r="K4" s="441">
        <f>huishoudens!K8</f>
        <v>0</v>
      </c>
      <c r="L4" s="441">
        <f>huishoudens!L8</f>
        <v>0</v>
      </c>
      <c r="M4" s="441">
        <f>huishoudens!M8</f>
        <v>0</v>
      </c>
      <c r="N4" s="441">
        <f>huishoudens!N8</f>
        <v>14914.935563046603</v>
      </c>
      <c r="O4" s="441">
        <f>huishoudens!O8</f>
        <v>504.95666666666671</v>
      </c>
      <c r="P4" s="442">
        <f>huishoudens!P8</f>
        <v>400.4</v>
      </c>
      <c r="Q4" s="443">
        <f>SUM(B4:P4)</f>
        <v>226330.07313154411</v>
      </c>
    </row>
    <row r="5" spans="1:17">
      <c r="A5" s="440" t="s">
        <v>149</v>
      </c>
      <c r="B5" s="441">
        <f ca="1">tertiair!B16</f>
        <v>35107.775999999998</v>
      </c>
      <c r="C5" s="441">
        <f ca="1">tertiair!C16</f>
        <v>0</v>
      </c>
      <c r="D5" s="441">
        <f ca="1">tertiair!D16</f>
        <v>32785.449267813005</v>
      </c>
      <c r="E5" s="441">
        <f>tertiair!E16</f>
        <v>599.20334659517687</v>
      </c>
      <c r="F5" s="441">
        <f ca="1">tertiair!F16</f>
        <v>6747.8415385708195</v>
      </c>
      <c r="G5" s="441">
        <f>tertiair!G16</f>
        <v>0</v>
      </c>
      <c r="H5" s="441">
        <f>tertiair!H16</f>
        <v>0</v>
      </c>
      <c r="I5" s="441">
        <f>tertiair!I16</f>
        <v>0</v>
      </c>
      <c r="J5" s="441">
        <f>tertiair!J16</f>
        <v>3.3670429078150446E-2</v>
      </c>
      <c r="K5" s="441">
        <f>tertiair!K16</f>
        <v>0</v>
      </c>
      <c r="L5" s="441">
        <f ca="1">tertiair!L16</f>
        <v>0</v>
      </c>
      <c r="M5" s="441">
        <f>tertiair!M16</f>
        <v>0</v>
      </c>
      <c r="N5" s="441">
        <f ca="1">tertiair!N16</f>
        <v>1257.2749880320641</v>
      </c>
      <c r="O5" s="441">
        <f>tertiair!O16</f>
        <v>4.6900000000000004</v>
      </c>
      <c r="P5" s="442">
        <f>tertiair!P16</f>
        <v>57.2</v>
      </c>
      <c r="Q5" s="440">
        <f t="shared" ref="Q5:Q14" ca="1" si="0">SUM(B5:P5)</f>
        <v>76559.468811440151</v>
      </c>
    </row>
    <row r="6" spans="1:17">
      <c r="A6" s="440" t="s">
        <v>187</v>
      </c>
      <c r="B6" s="441">
        <f>'openbare verlichting'!B8</f>
        <v>2209.2750000000001</v>
      </c>
      <c r="C6" s="441"/>
      <c r="D6" s="441"/>
      <c r="E6" s="441"/>
      <c r="F6" s="441"/>
      <c r="G6" s="441"/>
      <c r="H6" s="441"/>
      <c r="I6" s="441"/>
      <c r="J6" s="441"/>
      <c r="K6" s="441"/>
      <c r="L6" s="441"/>
      <c r="M6" s="441"/>
      <c r="N6" s="441"/>
      <c r="O6" s="441"/>
      <c r="P6" s="442"/>
      <c r="Q6" s="440">
        <f t="shared" si="0"/>
        <v>2209.2750000000001</v>
      </c>
    </row>
    <row r="7" spans="1:17">
      <c r="A7" s="440" t="s">
        <v>105</v>
      </c>
      <c r="B7" s="441">
        <f>landbouw!B8</f>
        <v>1987.848</v>
      </c>
      <c r="C7" s="441">
        <f>landbouw!C8</f>
        <v>5361.4285714285716</v>
      </c>
      <c r="D7" s="441">
        <f>landbouw!D8</f>
        <v>0</v>
      </c>
      <c r="E7" s="441">
        <f>landbouw!E8</f>
        <v>39.380978443877119</v>
      </c>
      <c r="F7" s="441">
        <f>landbouw!F8</f>
        <v>7249.120999926572</v>
      </c>
      <c r="G7" s="441">
        <f>landbouw!G8</f>
        <v>0</v>
      </c>
      <c r="H7" s="441">
        <f>landbouw!H8</f>
        <v>0</v>
      </c>
      <c r="I7" s="441">
        <f>landbouw!I8</f>
        <v>0</v>
      </c>
      <c r="J7" s="441">
        <f>landbouw!J8</f>
        <v>471.99520378443043</v>
      </c>
      <c r="K7" s="441">
        <f>landbouw!K8</f>
        <v>0</v>
      </c>
      <c r="L7" s="441">
        <f>landbouw!L8</f>
        <v>0</v>
      </c>
      <c r="M7" s="441">
        <f>landbouw!M8</f>
        <v>0</v>
      </c>
      <c r="N7" s="441">
        <f>landbouw!N8</f>
        <v>0</v>
      </c>
      <c r="O7" s="441">
        <f>landbouw!O8</f>
        <v>0</v>
      </c>
      <c r="P7" s="442">
        <f>landbouw!P8</f>
        <v>0</v>
      </c>
      <c r="Q7" s="440">
        <f t="shared" si="0"/>
        <v>15109.773753583451</v>
      </c>
    </row>
    <row r="8" spans="1:17">
      <c r="A8" s="440" t="s">
        <v>600</v>
      </c>
      <c r="B8" s="441">
        <f>industrie!B18</f>
        <v>80174.930999999997</v>
      </c>
      <c r="C8" s="441">
        <f>industrie!C18</f>
        <v>0</v>
      </c>
      <c r="D8" s="441">
        <f>industrie!D18</f>
        <v>41697.885593907398</v>
      </c>
      <c r="E8" s="441">
        <f>industrie!E18</f>
        <v>5769.9928627019772</v>
      </c>
      <c r="F8" s="441">
        <f>industrie!F18</f>
        <v>30536.497307199879</v>
      </c>
      <c r="G8" s="441">
        <f>industrie!G18</f>
        <v>0</v>
      </c>
      <c r="H8" s="441">
        <f>industrie!H18</f>
        <v>0</v>
      </c>
      <c r="I8" s="441">
        <f>industrie!I18</f>
        <v>0</v>
      </c>
      <c r="J8" s="441">
        <f>industrie!J18</f>
        <v>23.053619594453249</v>
      </c>
      <c r="K8" s="441">
        <f>industrie!K18</f>
        <v>0</v>
      </c>
      <c r="L8" s="441">
        <f>industrie!L18</f>
        <v>0</v>
      </c>
      <c r="M8" s="441">
        <f>industrie!M18</f>
        <v>0</v>
      </c>
      <c r="N8" s="441">
        <f>industrie!N18</f>
        <v>17564.613288944958</v>
      </c>
      <c r="O8" s="441">
        <f>industrie!O18</f>
        <v>0</v>
      </c>
      <c r="P8" s="442">
        <f>industrie!P18</f>
        <v>0</v>
      </c>
      <c r="Q8" s="440">
        <f t="shared" si="0"/>
        <v>175766.97367234869</v>
      </c>
    </row>
    <row r="9" spans="1:17" s="446" customFormat="1">
      <c r="A9" s="444" t="s">
        <v>549</v>
      </c>
      <c r="B9" s="445">
        <f>transport!B14</f>
        <v>36.923514925342005</v>
      </c>
      <c r="C9" s="445">
        <f>transport!C14</f>
        <v>0</v>
      </c>
      <c r="D9" s="445">
        <f>transport!D14</f>
        <v>61.726385409996354</v>
      </c>
      <c r="E9" s="445">
        <f>transport!E14</f>
        <v>293.28242506904644</v>
      </c>
      <c r="F9" s="445">
        <f>transport!F14</f>
        <v>0</v>
      </c>
      <c r="G9" s="445">
        <f>transport!G14</f>
        <v>125185.70573638695</v>
      </c>
      <c r="H9" s="445">
        <f>transport!H14</f>
        <v>21474.257190871449</v>
      </c>
      <c r="I9" s="445">
        <f>transport!I14</f>
        <v>0</v>
      </c>
      <c r="J9" s="445">
        <f>transport!J14</f>
        <v>0</v>
      </c>
      <c r="K9" s="445">
        <f>transport!K14</f>
        <v>0</v>
      </c>
      <c r="L9" s="445">
        <f>transport!L14</f>
        <v>0</v>
      </c>
      <c r="M9" s="445">
        <f>transport!M14</f>
        <v>4581.9121469502825</v>
      </c>
      <c r="N9" s="445">
        <f>transport!N14</f>
        <v>0</v>
      </c>
      <c r="O9" s="445">
        <f>transport!O14</f>
        <v>0</v>
      </c>
      <c r="P9" s="445">
        <f>transport!P14</f>
        <v>0</v>
      </c>
      <c r="Q9" s="444">
        <f>SUM(B9:P9)</f>
        <v>151633.80739961308</v>
      </c>
    </row>
    <row r="10" spans="1:17">
      <c r="A10" s="440" t="s">
        <v>539</v>
      </c>
      <c r="B10" s="441">
        <f>transport!B54</f>
        <v>3.6364494892657846</v>
      </c>
      <c r="C10" s="441">
        <f>transport!C54</f>
        <v>0</v>
      </c>
      <c r="D10" s="441">
        <f>transport!D54</f>
        <v>0</v>
      </c>
      <c r="E10" s="441">
        <f>transport!E54</f>
        <v>0</v>
      </c>
      <c r="F10" s="441">
        <f>transport!F54</f>
        <v>0</v>
      </c>
      <c r="G10" s="441">
        <f>transport!G54</f>
        <v>648.38664278203044</v>
      </c>
      <c r="H10" s="441">
        <f>transport!H54</f>
        <v>0</v>
      </c>
      <c r="I10" s="441">
        <f>transport!I54</f>
        <v>0</v>
      </c>
      <c r="J10" s="441">
        <f>transport!J54</f>
        <v>0</v>
      </c>
      <c r="K10" s="441">
        <f>transport!K54</f>
        <v>0</v>
      </c>
      <c r="L10" s="441">
        <f>transport!L54</f>
        <v>0</v>
      </c>
      <c r="M10" s="441">
        <f>transport!M54</f>
        <v>20.240118726744264</v>
      </c>
      <c r="N10" s="441">
        <f>transport!N54</f>
        <v>0</v>
      </c>
      <c r="O10" s="441">
        <f>transport!O54</f>
        <v>0</v>
      </c>
      <c r="P10" s="442">
        <f>transport!P54</f>
        <v>0</v>
      </c>
      <c r="Q10" s="440">
        <f t="shared" si="0"/>
        <v>672.26321099804056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1329.89</v>
      </c>
      <c r="C14" s="448"/>
      <c r="D14" s="448">
        <f>'SEAP template'!E25</f>
        <v>8482.0184809000002</v>
      </c>
      <c r="E14" s="448"/>
      <c r="F14" s="448"/>
      <c r="G14" s="448"/>
      <c r="H14" s="448"/>
      <c r="I14" s="448"/>
      <c r="J14" s="448"/>
      <c r="K14" s="448"/>
      <c r="L14" s="448"/>
      <c r="M14" s="448"/>
      <c r="N14" s="448"/>
      <c r="O14" s="448"/>
      <c r="P14" s="449"/>
      <c r="Q14" s="440">
        <f t="shared" si="0"/>
        <v>9811.9084808999996</v>
      </c>
    </row>
    <row r="15" spans="1:17" s="450" customFormat="1">
      <c r="A15" s="956" t="s">
        <v>543</v>
      </c>
      <c r="B15" s="896">
        <f ca="1">SUM(B4:B14)</f>
        <v>164132.12261876819</v>
      </c>
      <c r="C15" s="896">
        <f t="shared" ref="C15:Q15" ca="1" si="1">SUM(C4:C14)</f>
        <v>5361.4285714285716</v>
      </c>
      <c r="D15" s="896">
        <f t="shared" ca="1" si="1"/>
        <v>204007.73468429039</v>
      </c>
      <c r="E15" s="896">
        <f t="shared" si="1"/>
        <v>8313.8576689515685</v>
      </c>
      <c r="F15" s="896">
        <f t="shared" ca="1" si="1"/>
        <v>88360.496248943848</v>
      </c>
      <c r="G15" s="896">
        <f t="shared" si="1"/>
        <v>125834.09237916899</v>
      </c>
      <c r="H15" s="896">
        <f t="shared" si="1"/>
        <v>21474.257190871449</v>
      </c>
      <c r="I15" s="896">
        <f t="shared" si="1"/>
        <v>0</v>
      </c>
      <c r="J15" s="896">
        <f t="shared" si="1"/>
        <v>1303.3313256371869</v>
      </c>
      <c r="K15" s="896">
        <f t="shared" si="1"/>
        <v>0</v>
      </c>
      <c r="L15" s="896">
        <f t="shared" ca="1" si="1"/>
        <v>0</v>
      </c>
      <c r="M15" s="896">
        <f t="shared" si="1"/>
        <v>4602.1522656770267</v>
      </c>
      <c r="N15" s="896">
        <f t="shared" ca="1" si="1"/>
        <v>33736.82384002363</v>
      </c>
      <c r="O15" s="896">
        <f t="shared" si="1"/>
        <v>509.6466666666667</v>
      </c>
      <c r="P15" s="896">
        <f t="shared" si="1"/>
        <v>457.59999999999997</v>
      </c>
      <c r="Q15" s="896">
        <f t="shared" ca="1" si="1"/>
        <v>658093.54346042755</v>
      </c>
    </row>
    <row r="17" spans="1:17">
      <c r="A17" s="451" t="s">
        <v>544</v>
      </c>
      <c r="B17" s="714">
        <f ca="1">huishoudens!B10</f>
        <v>0.18125911271866924</v>
      </c>
      <c r="C17" s="714">
        <f ca="1">huishoudens!C10</f>
        <v>0.23764705882352941</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7845.2283963571781</v>
      </c>
      <c r="C22" s="441">
        <f t="shared" ref="C22:C32" ca="1" si="3">C4*$C$17</f>
        <v>0</v>
      </c>
      <c r="D22" s="441">
        <f t="shared" ref="D22:D32" si="4">D4*$D$17</f>
        <v>24438.092301164521</v>
      </c>
      <c r="E22" s="441">
        <f t="shared" ref="E22:E32" si="5">E4*$E$17</f>
        <v>365.92355874411828</v>
      </c>
      <c r="F22" s="441">
        <f t="shared" ref="F22:F32" si="6">F4*$F$17</f>
        <v>11701.818719666837</v>
      </c>
      <c r="G22" s="441">
        <f t="shared" ref="G22:G32" si="7">G4*$G$17</f>
        <v>0</v>
      </c>
      <c r="H22" s="441">
        <f t="shared" ref="H22:H32" si="8">H4*$H$17</f>
        <v>0</v>
      </c>
      <c r="I22" s="441">
        <f t="shared" ref="I22:I32" si="9">I4*$I$17</f>
        <v>0</v>
      </c>
      <c r="J22" s="441">
        <f t="shared" ref="J22:J32" si="10">J4*$J$17</f>
        <v>286.12008646754566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44637.183062400203</v>
      </c>
    </row>
    <row r="23" spans="1:17">
      <c r="A23" s="440" t="s">
        <v>149</v>
      </c>
      <c r="B23" s="441">
        <f t="shared" ca="1" si="2"/>
        <v>6363.6043272857905</v>
      </c>
      <c r="C23" s="441">
        <f t="shared" ca="1" si="3"/>
        <v>0</v>
      </c>
      <c r="D23" s="441">
        <f t="shared" ca="1" si="4"/>
        <v>6622.660752098227</v>
      </c>
      <c r="E23" s="441">
        <f t="shared" si="5"/>
        <v>136.01915967710516</v>
      </c>
      <c r="F23" s="441">
        <f t="shared" ca="1" si="6"/>
        <v>1801.6736907984089</v>
      </c>
      <c r="G23" s="441">
        <f t="shared" si="7"/>
        <v>0</v>
      </c>
      <c r="H23" s="441">
        <f t="shared" si="8"/>
        <v>0</v>
      </c>
      <c r="I23" s="441">
        <f t="shared" si="9"/>
        <v>0</v>
      </c>
      <c r="J23" s="441">
        <f t="shared" si="10"/>
        <v>1.1919331893665258E-2</v>
      </c>
      <c r="K23" s="441">
        <f t="shared" si="11"/>
        <v>0</v>
      </c>
      <c r="L23" s="441">
        <f t="shared" ca="1" si="12"/>
        <v>0</v>
      </c>
      <c r="M23" s="441">
        <f t="shared" si="13"/>
        <v>0</v>
      </c>
      <c r="N23" s="441">
        <f t="shared" ca="1" si="14"/>
        <v>0</v>
      </c>
      <c r="O23" s="441">
        <f t="shared" si="15"/>
        <v>0</v>
      </c>
      <c r="P23" s="442">
        <f t="shared" si="16"/>
        <v>0</v>
      </c>
      <c r="Q23" s="440">
        <f t="shared" ref="Q23:Q32" ca="1" si="17">SUM(B23:P23)</f>
        <v>14923.969849191426</v>
      </c>
    </row>
    <row r="24" spans="1:17">
      <c r="A24" s="440" t="s">
        <v>187</v>
      </c>
      <c r="B24" s="441">
        <f t="shared" ca="1" si="2"/>
        <v>400.451226251538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400.451226251538</v>
      </c>
    </row>
    <row r="25" spans="1:17">
      <c r="A25" s="440" t="s">
        <v>105</v>
      </c>
      <c r="B25" s="441">
        <f t="shared" ca="1" si="2"/>
        <v>360.31556469958122</v>
      </c>
      <c r="C25" s="441">
        <f t="shared" ca="1" si="3"/>
        <v>1274.127731092437</v>
      </c>
      <c r="D25" s="441">
        <f t="shared" si="4"/>
        <v>0</v>
      </c>
      <c r="E25" s="441">
        <f t="shared" si="5"/>
        <v>8.9394821067601065</v>
      </c>
      <c r="F25" s="441">
        <f t="shared" si="6"/>
        <v>1935.5153069803948</v>
      </c>
      <c r="G25" s="441">
        <f t="shared" si="7"/>
        <v>0</v>
      </c>
      <c r="H25" s="441">
        <f t="shared" si="8"/>
        <v>0</v>
      </c>
      <c r="I25" s="441">
        <f t="shared" si="9"/>
        <v>0</v>
      </c>
      <c r="J25" s="441">
        <f t="shared" si="10"/>
        <v>167.08630213968837</v>
      </c>
      <c r="K25" s="441">
        <f t="shared" si="11"/>
        <v>0</v>
      </c>
      <c r="L25" s="441">
        <f t="shared" si="12"/>
        <v>0</v>
      </c>
      <c r="M25" s="441">
        <f t="shared" si="13"/>
        <v>0</v>
      </c>
      <c r="N25" s="441">
        <f t="shared" si="14"/>
        <v>0</v>
      </c>
      <c r="O25" s="441">
        <f t="shared" si="15"/>
        <v>0</v>
      </c>
      <c r="P25" s="442">
        <f t="shared" si="16"/>
        <v>0</v>
      </c>
      <c r="Q25" s="440">
        <f t="shared" ca="1" si="17"/>
        <v>3745.984387018862</v>
      </c>
    </row>
    <row r="26" spans="1:17">
      <c r="A26" s="440" t="s">
        <v>600</v>
      </c>
      <c r="B26" s="441">
        <f t="shared" ca="1" si="2"/>
        <v>14532.436855340527</v>
      </c>
      <c r="C26" s="441">
        <f t="shared" ca="1" si="3"/>
        <v>0</v>
      </c>
      <c r="D26" s="441">
        <f t="shared" si="4"/>
        <v>8422.9728899692946</v>
      </c>
      <c r="E26" s="441">
        <f t="shared" si="5"/>
        <v>1309.7883798333489</v>
      </c>
      <c r="F26" s="441">
        <f t="shared" si="6"/>
        <v>8153.2447810223684</v>
      </c>
      <c r="G26" s="441">
        <f t="shared" si="7"/>
        <v>0</v>
      </c>
      <c r="H26" s="441">
        <f t="shared" si="8"/>
        <v>0</v>
      </c>
      <c r="I26" s="441">
        <f t="shared" si="9"/>
        <v>0</v>
      </c>
      <c r="J26" s="441">
        <f t="shared" si="10"/>
        <v>8.1609813364364499</v>
      </c>
      <c r="K26" s="441">
        <f t="shared" si="11"/>
        <v>0</v>
      </c>
      <c r="L26" s="441">
        <f t="shared" si="12"/>
        <v>0</v>
      </c>
      <c r="M26" s="441">
        <f t="shared" si="13"/>
        <v>0</v>
      </c>
      <c r="N26" s="441">
        <f t="shared" si="14"/>
        <v>0</v>
      </c>
      <c r="O26" s="441">
        <f t="shared" si="15"/>
        <v>0</v>
      </c>
      <c r="P26" s="442">
        <f t="shared" si="16"/>
        <v>0</v>
      </c>
      <c r="Q26" s="440">
        <f t="shared" ca="1" si="17"/>
        <v>32426.603887501977</v>
      </c>
    </row>
    <row r="27" spans="1:17" s="446" customFormat="1">
      <c r="A27" s="444" t="s">
        <v>549</v>
      </c>
      <c r="B27" s="708">
        <f t="shared" ca="1" si="2"/>
        <v>6.6927235538220327</v>
      </c>
      <c r="C27" s="445">
        <f t="shared" ca="1" si="3"/>
        <v>0</v>
      </c>
      <c r="D27" s="445">
        <f t="shared" si="4"/>
        <v>12.468729852819264</v>
      </c>
      <c r="E27" s="445">
        <f t="shared" si="5"/>
        <v>66.575110490673538</v>
      </c>
      <c r="F27" s="445">
        <f t="shared" si="6"/>
        <v>0</v>
      </c>
      <c r="G27" s="445">
        <f t="shared" si="7"/>
        <v>33424.58343161532</v>
      </c>
      <c r="H27" s="445">
        <f t="shared" si="8"/>
        <v>5347.0900405269904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38857.410036039626</v>
      </c>
    </row>
    <row r="28" spans="1:17">
      <c r="A28" s="440" t="s">
        <v>539</v>
      </c>
      <c r="B28" s="441">
        <f t="shared" ca="1" si="2"/>
        <v>0.65913960787057402</v>
      </c>
      <c r="C28" s="441">
        <f t="shared" ca="1" si="3"/>
        <v>0</v>
      </c>
      <c r="D28" s="441">
        <f t="shared" si="4"/>
        <v>0</v>
      </c>
      <c r="E28" s="441">
        <f t="shared" si="5"/>
        <v>0</v>
      </c>
      <c r="F28" s="441">
        <f t="shared" si="6"/>
        <v>0</v>
      </c>
      <c r="G28" s="441">
        <f t="shared" si="7"/>
        <v>173.11923362280214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173.77837323067271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241.05468141343104</v>
      </c>
      <c r="C32" s="441">
        <f t="shared" ca="1" si="3"/>
        <v>0</v>
      </c>
      <c r="D32" s="441">
        <f t="shared" si="4"/>
        <v>1713.3677331418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1954.4224145552312</v>
      </c>
    </row>
    <row r="33" spans="1:17" s="450" customFormat="1">
      <c r="A33" s="956" t="s">
        <v>543</v>
      </c>
      <c r="B33" s="896">
        <f ca="1">SUM(B22:B32)</f>
        <v>29750.442914509738</v>
      </c>
      <c r="C33" s="896">
        <f t="shared" ref="C33:Q33" ca="1" si="18">SUM(C22:C32)</f>
        <v>1274.127731092437</v>
      </c>
      <c r="D33" s="896">
        <f t="shared" ca="1" si="18"/>
        <v>41209.562406226665</v>
      </c>
      <c r="E33" s="896">
        <f t="shared" si="18"/>
        <v>1887.245690852006</v>
      </c>
      <c r="F33" s="896">
        <f t="shared" ca="1" si="18"/>
        <v>23592.252498468009</v>
      </c>
      <c r="G33" s="896">
        <f t="shared" si="18"/>
        <v>33597.702665238125</v>
      </c>
      <c r="H33" s="896">
        <f t="shared" si="18"/>
        <v>5347.0900405269904</v>
      </c>
      <c r="I33" s="896">
        <f t="shared" si="18"/>
        <v>0</v>
      </c>
      <c r="J33" s="896">
        <f t="shared" si="18"/>
        <v>461.37928927556419</v>
      </c>
      <c r="K33" s="896">
        <f t="shared" si="18"/>
        <v>0</v>
      </c>
      <c r="L33" s="896">
        <f t="shared" ca="1" si="18"/>
        <v>0</v>
      </c>
      <c r="M33" s="896">
        <f t="shared" si="18"/>
        <v>0</v>
      </c>
      <c r="N33" s="896">
        <f t="shared" ca="1" si="18"/>
        <v>0</v>
      </c>
      <c r="O33" s="896">
        <f t="shared" si="18"/>
        <v>0</v>
      </c>
      <c r="P33" s="896">
        <f t="shared" si="18"/>
        <v>0</v>
      </c>
      <c r="Q33" s="896">
        <f t="shared" ca="1" si="18"/>
        <v>137119.80323618956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22224.526317281263</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7572.906243817064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3753</v>
      </c>
      <c r="D8" s="973">
        <f>'SEAP template'!D76</f>
        <v>4415.2941176470586</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891.88941176470587</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29797.432561098329</v>
      </c>
      <c r="C10" s="977">
        <f>SUM(C4:C9)</f>
        <v>3753</v>
      </c>
      <c r="D10" s="977">
        <f t="shared" ref="D10:H10" si="0">SUM(D8:D9)</f>
        <v>4415.2941176470586</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891.88941176470587</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0.18125911271866924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5361.4285714285716</v>
      </c>
      <c r="D17" s="974">
        <f>'SEAP template'!D87</f>
        <v>6307.5630252100837</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1274.127731092437</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5361.4285714285716</v>
      </c>
      <c r="D20" s="977">
        <f t="shared" ref="D20:H20" si="2">SUM(D17:D19)</f>
        <v>6307.5630252100837</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1274.127731092437</v>
      </c>
    </row>
    <row r="22" spans="1:16">
      <c r="A22" s="451" t="s">
        <v>811</v>
      </c>
      <c r="B22" s="714" t="s">
        <v>805</v>
      </c>
      <c r="C22" s="714">
        <f ca="1">'EF ele_warmte'!B22</f>
        <v>0.23764705882352941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0.18125911271866924</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2</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3.1266666666666669</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2022-07-26T11:11:08Z</dcterms:modified>
</cp:coreProperties>
</file>