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75AEF64D-7805-4869-8A21-2A485D73689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<sst xmlns="http://schemas.openxmlformats.org/spreadsheetml/2006/main" count="2411" uniqueCount="890">
  <si>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</si>
  <si>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</si>
  <si>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</si>
  <si>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</si>
  <si>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</si>
  <si>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</si>
  <si>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</si>
  <si>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</si>
  <si>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</si>
  <si>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</si>
  <si>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</si>
  <si>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</si>
  <si>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</si>
  <si>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</si>
  <si>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</si>
  <si>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</si>
  <si>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</si>
  <si>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</si>
  <si>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</si>
  <si>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</si>
  <si>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</si>
  <si>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</si>
  <si>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</si>
  <si>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</si>
  <si>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</si>
  <si>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</si>
  <si>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</si>
  <si>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</si>
  <si>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</si>
  <si>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</si>
  <si>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</si>
  <si>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</si>
  <si>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</si>
  <si>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</si>
  <si>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</si>
  <si>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</si>
  <si>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</si>
  <si>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</si>
  <si>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</si>
  <si>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</si>
  <si>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</si>
  <si>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</si>
  <si>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</si>
  <si>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</si>
  <si>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</si>
  <si>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</si>
  <si>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</si>
  <si>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</si>
  <si>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</si>
  <si>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</si>
  <si>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</si>
  <si>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</si>
  <si>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</si>
  <si>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</si>
  <si>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</si>
  <si>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</si>
  <si>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</si>
  <si>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</si>
  <si>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</si>
  <si>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</si>
  <si>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</si>
  <si>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</si>
  <si>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</si>
  <si>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</si>
  <si>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</si>
  <si>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</si>
  <si>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</si>
  <si>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</si>
  <si>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</si>
  <si>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</si>
  <si>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</si>
  <si>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</si>
  <si>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</si>
  <si>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</si>
  <si>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</si>
  <si>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</si>
  <si>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</si>
  <si>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</si>
  <si>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</si>
  <si>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</si>
  <si>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</si>
  <si>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</si>
  <si>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</si>
  <si>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</si>
  <si>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</si>
  <si>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</si>
  <si>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</si>
  <si>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</si>
  <si>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</si>
  <si>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</si>
  <si>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</si>
  <si>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</si>
  <si>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</si>
  <si>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</si>
  <si>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</si>
  <si>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</si>
  <si>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</si>
  <si>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</si>
  <si>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</si>
  <si>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</si>
  <si>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</si>
  <si>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</si>
  <si>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</si>
  <si>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</si>
  <si>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</si>
  <si>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</si>
  <si>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</si>
  <si>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</si>
  <si>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</si>
  <si>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</si>
  <si>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</si>
  <si>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</si>
  <si>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</si>
  <si>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</si>
  <si>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</si>
  <si>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</si>
  <si>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</si>
  <si>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</si>
  <si>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</si>
  <si>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</si>
  <si>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</si>
  <si>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</si>
  <si>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</si>
  <si>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</si>
  <si>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</si>
  <si>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</si>
  <si>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</si>
  <si>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</si>
  <si>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</si>
  <si>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</si>
  <si>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</si>
  <si>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</si>
  <si>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</si>
  <si>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</si>
  <si>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</si>
  <si>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</si>
  <si>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</si>
  <si>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</si>
  <si>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</si>
  <si>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</si>
  <si>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</si>
  <si>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</si>
  <si>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</si>
  <si>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</si>
  <si>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</si>
  <si>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</si>
  <si>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</si>
  <si>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</si>
  <si>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</si>
  <si>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</si>
  <si>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</si>
  <si>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</si>
  <si>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</si>
  <si>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</si>
  <si>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</si>
  <si>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</si>
  <si>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</si>
  <si>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</si>
  <si>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</si>
  <si>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</si>
  <si>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</si>
  <si>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</si>
  <si>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</si>
  <si>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</si>
  <si>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</si>
  <si>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</si>
  <si>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</si>
  <si>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</si>
  <si>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</si>
  <si>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</si>
  <si>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</si>
  <si>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</si>
  <si>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</si>
  <si>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</si>
  <si>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</si>
  <si>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</si>
  <si>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</si>
  <si>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</si>
  <si>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</si>
  <si>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</si>
  <si>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</si>
  <si>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</si>
  <si>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</si>
  <si>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</si>
  <si>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</si>
  <si>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</si>
  <si>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</si>
  <si>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</si>
  <si>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</si>
  <si>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</si>
  <si>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</si>
  <si>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</si>
  <si>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</si>
  <si>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</si>
  <si>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</si>
  <si>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</si>
  <si>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</si>
  <si>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</si>
  <si>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</si>
  <si>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</si>
  <si>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</si>
  <si>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</si>
  <si>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</si>
  <si>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</si>
  <si>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</si>
  <si>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</si>
  <si>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</si>
  <si>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</si>
  <si>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</si>
  <si>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</si>
  <si>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</si>
  <si>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</si>
  <si>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</si>
  <si>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</si>
  <si>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</si>
  <si>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</si>
  <si>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</si>
  <si>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</si>
  <si>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</si>
  <si>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</si>
  <si>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</si>
  <si>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</si>
  <si>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</si>
  <si>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</si>
  <si>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</si>
  <si>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</si>
  <si>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</si>
  <si>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</si>
  <si>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</si>
  <si>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</si>
  <si>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</si>
  <si>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</si>
  <si>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</si>
  <si>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</si>
  <si>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</si>
  <si>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</si>
  <si>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</si>
  <si>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</si>
  <si>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</si>
  <si>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</si>
  <si>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</si>
  <si>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</si>
  <si>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</si>
  <si>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</si>
  <si>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</si>
  <si>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</si>
  <si>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</si>
  <si>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</si>
  <si>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</si>
  <si>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</si>
  <si>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</si>
  <si>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</si>
  <si>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</si>
  <si>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</si>
  <si>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</si>
  <si>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</si>
  <si>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</si>
  <si>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</si>
  <si>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</si>
  <si>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</si>
  <si>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</si>
  <si>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</si>
  <si>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</si>
  <si>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</si>
  <si>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</si>
  <si>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</si>
  <si>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</si>
  <si>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</si>
  <si>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</si>
  <si>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</si>
  <si>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</si>
  <si>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</si>
  <si>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</si>
  <si>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</si>
  <si>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</si>
  <si>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</si>
  <si>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</si>
  <si>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</si>
  <si>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</si>
  <si>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</si>
  <si>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</si>
  <si>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</si>
  <si>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</si>
  <si>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</si>
  <si>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</si>
  <si>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</si>
  <si>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</si>
  <si>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</si>
  <si>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</si>
  <si>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</si>
  <si>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</si>
  <si>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</si>
  <si>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</si>
  <si>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</si>
  <si>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</si>
  <si>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</si>
  <si>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</si>
  <si>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</si>
  <si>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</si>
  <si>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</si>
  <si>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</si>
  <si>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</si>
  <si>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</si>
  <si>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</si>
  <si>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</si>
  <si>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</si>
  <si>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</si>
  <si>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</si>
  <si>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</si>
  <si>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</si>
  <si>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</si>
  <si>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</si>
  <si>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</si>
  <si>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</si>
  <si>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</si>
  <si>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</si>
  <si>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</si>
  <si>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</si>
  <si>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</si>
  <si>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</si>
  <si>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</si>
  <si>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</si>
  <si>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</si>
  <si>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</si>
  <si>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</si>
  <si>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</si>
  <si>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</si>
  <si>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</si>
  <si>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</si>
  <si>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</si>
  <si>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</si>
  <si>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</si>
  <si>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</si>
  <si>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</si>
  <si>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</si>
  <si>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</si>
  <si>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</si>
  <si>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</si>
  <si>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</si>
  <si>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</si>
  <si>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</si>
  <si>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</si>
  <si>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</si>
  <si>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</si>
  <si>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</si>
  <si>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</si>
  <si>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</si>
  <si>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</si>
  <si>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</si>
  <si>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</si>
  <si>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</si>
  <si>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</si>
  <si>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</si>
  <si>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</si>
  <si>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</si>
  <si>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</si>
  <si>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</si>
  <si>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</si>
  <si>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</si>
  <si>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</si>
  <si>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</si>
  <si>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</si>
  <si>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</si>
  <si>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</si>
  <si>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</si>
  <si>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</si>
  <si>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</si>
  <si>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</si>
  <si>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</si>
  <si>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</si>
  <si>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</si>
  <si>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</si>
  <si>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</si>
  <si>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</si>
  <si>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</si>
  <si>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</si>
  <si>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</si>
  <si>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</si>
  <si>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</si>
  <si>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</si>
  <si>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</si>
  <si>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</si>
  <si>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</si>
  <si>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</si>
  <si>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</si>
  <si>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</si>
  <si>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</si>
  <si>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</si>
  <si>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</si>
  <si>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</si>
  <si>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</si>
  <si>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</si>
  <si>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</si>
  <si>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</si>
  <si>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</si>
  <si>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</si>
  <si>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</si>
  <si>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</si>
  <si>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</si>
  <si>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</si>
  <si>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</si>
  <si>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</si>
  <si>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</si>
  <si>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</si>
  <si>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</si>
  <si>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</si>
  <si>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</si>
  <si>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</si>
  <si>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</si>
  <si>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</si>
  <si>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</si>
  <si>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</si>
  <si>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</si>
  <si>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</si>
  <si>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</si>
  <si>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</si>
  <si>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</si>
  <si>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</si>
  <si>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</si>
  <si>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</si>
  <si>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</si>
  <si>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</si>
  <si>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</si>
  <si>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</si>
  <si>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</si>
  <si>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</si>
  <si>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</si>
  <si>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</si>
  <si>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</si>
  <si>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</si>
  <si>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</si>
  <si>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</si>
  <si>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</si>
  <si>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</si>
  <si>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</si>
  <si>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</si>
  <si>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</si>
  <si>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</si>
  <si>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</si>
  <si>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</si>
  <si>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</si>
  <si>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</si>
  <si>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</si>
  <si>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</si>
  <si>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</si>
  <si>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</si>
  <si>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</si>
  <si>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</si>
  <si>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</si>
  <si>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</si>
  <si>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</si>
  <si>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</si>
  <si>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</si>
  <si>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</si>
  <si>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</si>
  <si>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</si>
  <si>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</si>
  <si>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</si>
  <si>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</si>
  <si>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</si>
  <si>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</si>
  <si>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</si>
  <si>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</si>
  <si>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</si>
  <si>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</si>
  <si>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</si>
  <si>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</si>
  <si>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</si>
  <si>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</si>
  <si>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</si>
  <si>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</si>
  <si>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</si>
  <si>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</si>
  <si>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</si>
  <si>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</si>
  <si>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</si>
  <si>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</si>
  <si>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</si>
  <si>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</si>
  <si>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</si>
  <si>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</si>
  <si>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</si>
  <si>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</si>
  <si>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</si>
  <si>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</si>
  <si>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</si>
  <si>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</si>
  <si>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</si>
  <si>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</si>
  <si>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</si>
  <si>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</si>
  <si>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</si>
  <si>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</si>
  <si>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</si>
  <si>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</si>
  <si>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</si>
  <si>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</si>
  <si>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</si>
  <si>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</si>
  <si>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</si>
  <si>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</si>
  <si>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</si>
  <si>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</si>
  <si>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</si>
  <si>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</si>
  <si>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</si>
  <si>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</si>
  <si>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</si>
  <si>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</si>
  <si>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</si>
  <si>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</si>
  <si>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</si>
  <si>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</si>
  <si>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</si>
  <si>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</si>
  <si>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</si>
  <si>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</si>
  <si>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</si>
  <si>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</si>
  <si>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</si>
  <si>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</si>
  <si>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</si>
  <si>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</si>
  <si>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</si>
  <si>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</si>
  <si>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</si>
  <si>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</si>
  <si>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</si>
  <si>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</si>
  <si>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</si>
  <si>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</si>
  <si>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</si>
  <si>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</si>
  <si>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</si>
  <si>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</si>
  <si>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</si>
  <si>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</si>
  <si>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</si>
  <si>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</si>
  <si>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</si>
  <si>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</si>
  <si>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</si>
  <si>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</si>
  <si>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</si>
  <si>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</si>
  <si>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</si>
  <si>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</si>
  <si>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</si>
  <si>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</si>
  <si>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</si>
  <si>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</si>
  <si>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</si>
  <si>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</si>
  <si>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</si>
  <si>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</si>
  <si>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</si>
  <si>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</si>
  <si>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</si>
  <si>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</si>
  <si>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</si>
  <si>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</si>
  <si>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</si>
  <si>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</si>
  <si>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</si>
  <si>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</si>
  <si>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</si>
  <si>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</si>
  <si>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</si>
  <si>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</si>
  <si>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</si>
  <si>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</si>
  <si>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</si>
  <si>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</si>
  <si>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</si>
  <si>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</si>
  <si>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</si>
  <si>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</si>
  <si>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</si>
  <si>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</si>
  <si>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</si>
  <si>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</si>
  <si>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</si>
  <si>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</si>
  <si>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</si>
  <si>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</si>
  <si>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</si>
  <si>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</si>
  <si>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</si>
  <si>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</si>
  <si>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</si>
  <si>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</si>
  <si>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</si>
  <si>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</si>
  <si>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</si>
  <si>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</si>
  <si>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</si>
  <si>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</si>
  <si>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</si>
  <si>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</si>
  <si>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</si>
  <si>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</si>
  <si>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</si>
  <si>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</si>
  <si>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</si>
  <si>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</si>
  <si>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</si>
  <si>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</si>
  <si>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</si>
  <si>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</si>
  <si>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</si>
  <si>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</si>
  <si>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</si>
  <si>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</si>
  <si>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</si>
  <si>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</si>
  <si>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</si>
  <si>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</si>
  <si>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</si>
  <si>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</si>
  <si>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</si>
  <si>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</si>
  <si>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</si>
  <si>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</si>
  <si>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</si>
  <si>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</si>
  <si>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</si>
  <si>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</si>
  <si>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</si>
  <si>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</si>
  <si>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</si>
  <si>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</si>
  <si>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</si>
  <si>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</si>
  <si>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</si>
  <si>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</si>
  <si>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</si>
  <si>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</si>
  <si>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</si>
  <si>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</si>
  <si>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</si>
  <si>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</si>
  <si>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</si>
  <si>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</si>
  <si>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</si>
  <si>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</si>
  <si>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</si>
  <si>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</si>
  <si>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</si>
  <si>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</si>
  <si>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</si>
  <si>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</si>
  <si>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</si>
  <si>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</si>
  <si>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</si>
  <si>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</si>
  <si>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</si>
  <si>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</si>
  <si>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</si>
  <si>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</si>
  <si>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</si>
  <si>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</si>
  <si>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</si>
  <si>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</si>
  <si>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</si>
  <si>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</si>
  <si>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</si>
  <si>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</si>
  <si>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</si>
  <si>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</si>
  <si>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</si>
  <si>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</si>
  <si>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</si>
  <si>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</si>
  <si>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</si>
  <si>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</si>
  <si>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</si>
  <si>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</si>
  <si>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</si>
  <si>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</si>
  <si>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</si>
  <si>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</si>
  <si>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</si>
  <si>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</si>
  <si>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</si>
  <si>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</si>
  <si>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</si>
  <si>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</si>
  <si>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</si>
  <si>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</si>
  <si>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</si>
  <si>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</si>
  <si>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</si>
  <si>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</si>
  <si>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</si>
  <si>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</si>
  <si>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</si>
  <si>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</si>
  <si>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</si>
  <si>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</si>
  <si>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</si>
  <si>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</si>
  <si>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</si>
  <si>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</si>
  <si>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</si>
  <si>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</si>
  <si>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</si>
  <si>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</si>
  <si>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</si>
  <si>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</si>
  <si>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</si>
  <si>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</si>
  <si>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</si>
  <si>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</si>
  <si>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</si>
  <si>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</si>
  <si>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</si>
  <si>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</si>
  <si>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</si>
  <si>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</si>
  <si>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</si>
  <si>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</si>
  <si>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</si>
  <si>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</si>
  <si>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</si>
  <si>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</si>
  <si>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</si>
  <si>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</si>
  <si>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</si>
  <si>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</si>
  <si>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</si>
  <si>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</si>
  <si>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</si>
  <si>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</si>
  <si>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</si>
  <si>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</si>
  <si>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</si>
  <si>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</si>
  <si>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</si>
  <si>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</si>
  <si>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</si>
  <si>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</si>
  <si>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</si>
  <si>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</si>
  <si>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</si>
  <si>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</si>
  <si>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</si>
  <si>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</si>
  <si>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</si>
  <si>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</si>
  <si>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</si>
  <si>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</si>
  <si>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</si>
  <si>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</si>
  <si>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</si>
  <si>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</si>
  <si>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</si>
  <si>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</si>
  <si>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</si>
  <si>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</si>
  <si>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</si>
  <si>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</si>
  <si>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</si>
  <si>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</si>
  <si>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</si>
  <si>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</si>
  <si>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</si>
  <si>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</si>
  <si>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</si>
  <si>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</si>
  <si>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</si>
  <si>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</si>
  <si>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</si>
  <si>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</si>
  <si>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</si>
  <si>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</si>
  <si>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</si>
  <si>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</si>
  <si>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</si>
  <si>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</si>
  <si>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</si>
  <si>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</si>
  <si>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</si>
  <si>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</si>
  <si>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</si>
  <si>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</si>
  <si>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</si>
  <si>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</si>
  <si>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</si>
  <si>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</si>
  <si>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</si>
  <si>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</si>
  <si>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</si>
  <si>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</si>
  <si>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</si>
  <si>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</si>
  <si>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</si>
  <si>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</si>
  <si>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</si>
  <si>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</si>
  <si>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</si>
  <si>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</si>
  <si>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</si>
  <si>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</si>
  <si>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</si>
  <si>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</si>
  <si>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</si>
  <si>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</si>
  <si>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</si>
  <si>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</si>
  <si>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</si>
  <si>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</si>
  <si>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</si>
  <si>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</si>
  <si>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</si>
  <si>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</si>
  <si>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</si>
  <si>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</si>
  <si>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</si>
  <si>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</si>
  <si>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</si>
  <si>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</si>
  <si>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</si>
  <si>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</si>
  <si>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</si>
  <si>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</si>
  <si>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</si>
  <si>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</si>
  <si>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</si>
  <si>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</si>
  <si>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</si>
  <si>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</si>
  <si>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</si>
  <si>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</si>
  <si>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</si>
  <si>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</si>
  <si>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</si>
  <si>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</si>
  <si>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</si>
  <si>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</si>
  <si>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</si>
  <si>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</si>
  <si>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</si>
  <si>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</si>
  <si>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</si>
  <si>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</si>
  <si>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</si>
  <si>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</si>
  <si>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</si>
  <si>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</si>
  <si>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</si>
  <si>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</si>
  <si>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</si>
  <si>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</si>
  <si>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</si>
  <si>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</si>
  <si>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</si>
  <si>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</si>
  <si>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</si>
  <si>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</si>
  <si>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</si>
  <si>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</si>
  <si>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</si>
  <si>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</si>
  <si>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</si>
  <si>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</si>
  <si>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</si>
  <si>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</si>
  <si>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</si>
  <si>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</si>
  <si>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</si>
  <si>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</si>
  <si>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</si>
  <si>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</si>
  <si>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</si>
  <si>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</si>
  <si>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</si>
  <si>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</si>
  <si>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</si>
  <si>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</si>
  <si>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</si>
  <si>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</si>
  <si>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</si>
  <si>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35006</t>
  </si>
  <si>
    <t>ICHTEGEM</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</si>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</sst>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FF9BFD81-A2FD-433C-A4B4-5CA9FA48AEB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116174.96087850374</c:v>
                </c:pt>
                <c:pt idx="1">
                  <c:v>26436.405722839248</c:v>
                </c:pt>
                <c:pt idx="2">
                  <c:v>907.56299999999999</c:v>
                </c:pt>
                <c:pt idx="3">
                  <c:v>49692.948561492311</c:v>
                </c:pt>
                <c:pt idx="4">
                  <c:v>101244.61945027413</c:v>
                </c:pt>
                <c:pt idx="5">
                  <c:v>49732.607640234375</c:v>
                </c:pt>
                <c:pt idx="6">
                  <c:v>1154.4105883665522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116174.96087850374</c:v>
                </c:pt>
                <c:pt idx="1">
                  <c:v>26436.405722839248</c:v>
                </c:pt>
                <c:pt idx="2">
                  <c:v>907.56299999999999</c:v>
                </c:pt>
                <c:pt idx="3">
                  <c:v>49692.948561492311</c:v>
                </c:pt>
                <c:pt idx="4">
                  <c:v>101244.61945027413</c:v>
                </c:pt>
                <c:pt idx="5">
                  <c:v>49732.607640234375</c:v>
                </c:pt>
                <c:pt idx="6">
                  <c:v>1154.4105883665522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24019.641467317986</c:v>
                </c:pt>
                <c:pt idx="2">
                  <c:v>5369.9925684013306</c:v>
                </c:pt>
                <c:pt idx="3">
                  <c:v>185.5601947582052</c:v>
                </c:pt>
                <c:pt idx="4">
                  <c:v>12124.544895595571</c:v>
                </c:pt>
                <c:pt idx="5">
                  <c:v>20526.460464077791</c:v>
                </c:pt>
                <c:pt idx="6">
                  <c:v>12717.701875852759</c:v>
                </c:pt>
                <c:pt idx="7">
                  <c:v>298.55715212756206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24019.641467317986</c:v>
                </c:pt>
                <c:pt idx="2">
                  <c:v>5369.9925684013306</c:v>
                </c:pt>
                <c:pt idx="3">
                  <c:v>185.5601947582052</c:v>
                </c:pt>
                <c:pt idx="4">
                  <c:v>12124.544895595571</c:v>
                </c:pt>
                <c:pt idx="5">
                  <c:v>20526.460464077791</c:v>
                </c:pt>
                <c:pt idx="6">
                  <c:v>12717.701875852759</c:v>
                </c:pt>
                <c:pt idx="7">
                  <c:v>298.55715212756206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35006</v>
      </c>
      <c r="B6" s="380"/>
      <c r="C6" s="381"/>
    </row>
    <row r="7" spans="1:7" s="378" customFormat="1" ht="15.75" customHeight="1">
      <c r="A7" s="382" t="str">
        <f>txtMunicipality</f>
        <v>ICHTEGEM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0.20445984990375898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0.20445984990375898</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5780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3039.37</v>
      </c>
      <c r="C14" s="322"/>
      <c r="D14" s="322"/>
      <c r="E14" s="322"/>
      <c r="F14" s="322"/>
    </row>
    <row r="15" spans="1:6">
      <c r="A15" s="1248" t="s">
        <v>177</v>
      </c>
      <c r="B15" s="1249">
        <v>911</v>
      </c>
      <c r="C15" s="322"/>
      <c r="D15" s="322"/>
      <c r="E15" s="322"/>
      <c r="F15" s="322"/>
    </row>
    <row r="16" spans="1:6">
      <c r="A16" s="1248" t="s">
        <v>6</v>
      </c>
      <c r="B16" s="1249">
        <v>1641</v>
      </c>
      <c r="C16" s="322"/>
      <c r="D16" s="322"/>
      <c r="E16" s="322"/>
      <c r="F16" s="322"/>
    </row>
    <row r="17" spans="1:6">
      <c r="A17" s="1248" t="s">
        <v>7</v>
      </c>
      <c r="B17" s="1249">
        <v>894</v>
      </c>
      <c r="C17" s="322"/>
      <c r="D17" s="322"/>
      <c r="E17" s="322"/>
      <c r="F17" s="322"/>
    </row>
    <row r="18" spans="1:6">
      <c r="A18" s="1248" t="s">
        <v>8</v>
      </c>
      <c r="B18" s="1249">
        <v>1571</v>
      </c>
      <c r="C18" s="322"/>
      <c r="D18" s="322"/>
      <c r="E18" s="322"/>
      <c r="F18" s="322"/>
    </row>
    <row r="19" spans="1:6">
      <c r="A19" s="1248" t="s">
        <v>9</v>
      </c>
      <c r="B19" s="1249">
        <v>1461</v>
      </c>
      <c r="C19" s="322"/>
      <c r="D19" s="322"/>
      <c r="E19" s="322"/>
      <c r="F19" s="322"/>
    </row>
    <row r="20" spans="1:6">
      <c r="A20" s="1248" t="s">
        <v>10</v>
      </c>
      <c r="B20" s="1249">
        <v>985</v>
      </c>
      <c r="C20" s="322"/>
      <c r="D20" s="322"/>
      <c r="E20" s="322"/>
      <c r="F20" s="322"/>
    </row>
    <row r="21" spans="1:6">
      <c r="A21" s="1248" t="s">
        <v>11</v>
      </c>
      <c r="B21" s="1249">
        <v>11448</v>
      </c>
      <c r="C21" s="322"/>
      <c r="D21" s="322"/>
      <c r="E21" s="322"/>
      <c r="F21" s="322"/>
    </row>
    <row r="22" spans="1:6">
      <c r="A22" s="1248" t="s">
        <v>12</v>
      </c>
      <c r="B22" s="1249">
        <v>49031</v>
      </c>
      <c r="C22" s="322"/>
      <c r="D22" s="322"/>
      <c r="E22" s="322"/>
      <c r="F22" s="322"/>
    </row>
    <row r="23" spans="1:6">
      <c r="A23" s="1248" t="s">
        <v>13</v>
      </c>
      <c r="B23" s="1249">
        <v>708</v>
      </c>
      <c r="C23" s="322"/>
      <c r="D23" s="322"/>
      <c r="E23" s="322"/>
      <c r="F23" s="322"/>
    </row>
    <row r="24" spans="1:6">
      <c r="A24" s="1248" t="s">
        <v>14</v>
      </c>
      <c r="B24" s="1249">
        <v>33</v>
      </c>
      <c r="C24" s="322"/>
      <c r="D24" s="322"/>
      <c r="E24" s="322"/>
      <c r="F24" s="322"/>
    </row>
    <row r="25" spans="1:6">
      <c r="A25" s="1248" t="s">
        <v>15</v>
      </c>
      <c r="B25" s="1249">
        <v>3264</v>
      </c>
      <c r="C25" s="322"/>
      <c r="D25" s="322"/>
      <c r="E25" s="322"/>
      <c r="F25" s="322"/>
    </row>
    <row r="26" spans="1:6">
      <c r="A26" s="1248" t="s">
        <v>16</v>
      </c>
      <c r="B26" s="1249">
        <v>401</v>
      </c>
      <c r="C26" s="322"/>
      <c r="D26" s="322"/>
      <c r="E26" s="322"/>
      <c r="F26" s="322"/>
    </row>
    <row r="27" spans="1:6">
      <c r="A27" s="1248" t="s">
        <v>17</v>
      </c>
      <c r="B27" s="1249">
        <v>23</v>
      </c>
      <c r="C27" s="322"/>
      <c r="D27" s="322"/>
      <c r="E27" s="322"/>
      <c r="F27" s="322"/>
    </row>
    <row r="28" spans="1:6">
      <c r="A28" s="1248" t="s">
        <v>18</v>
      </c>
      <c r="B28" s="1250">
        <v>184082</v>
      </c>
      <c r="C28" s="322"/>
      <c r="D28" s="322"/>
      <c r="E28" s="322"/>
      <c r="F28" s="322"/>
    </row>
    <row r="29" spans="1:6">
      <c r="A29" s="1248" t="s">
        <v>884</v>
      </c>
      <c r="B29" s="1250">
        <v>143</v>
      </c>
      <c r="C29" s="322"/>
      <c r="D29" s="322"/>
      <c r="E29" s="322"/>
      <c r="F29" s="322"/>
    </row>
    <row r="30" spans="1:6">
      <c r="A30" s="1243" t="s">
        <v>885</v>
      </c>
      <c r="B30" s="1251">
        <v>18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14</v>
      </c>
      <c r="F36" s="1249">
        <v>47604.052919000002</v>
      </c>
    </row>
    <row r="37" spans="1:6">
      <c r="A37" s="1248" t="s">
        <v>24</v>
      </c>
      <c r="B37" s="1248" t="s">
        <v>27</v>
      </c>
      <c r="C37" s="1249">
        <v>0</v>
      </c>
      <c r="D37" s="1249">
        <v>0</v>
      </c>
      <c r="E37" s="1249">
        <v>0</v>
      </c>
      <c r="F37" s="1249">
        <v>0</v>
      </c>
    </row>
    <row r="38" spans="1:6">
      <c r="A38" s="1248" t="s">
        <v>24</v>
      </c>
      <c r="B38" s="1248" t="s">
        <v>28</v>
      </c>
      <c r="C38" s="1249">
        <v>1</v>
      </c>
      <c r="D38" s="1249">
        <v>74105303.964000002</v>
      </c>
      <c r="E38" s="1249">
        <v>2</v>
      </c>
      <c r="F38" s="1249">
        <v>162536.25765000001</v>
      </c>
    </row>
    <row r="39" spans="1:6">
      <c r="A39" s="1248" t="s">
        <v>29</v>
      </c>
      <c r="B39" s="1248" t="s">
        <v>30</v>
      </c>
      <c r="C39" s="1249">
        <v>3771</v>
      </c>
      <c r="D39" s="1249">
        <v>57042197.824000001</v>
      </c>
      <c r="E39" s="1249">
        <v>5320</v>
      </c>
      <c r="F39" s="1249">
        <v>19887113.377999999</v>
      </c>
    </row>
    <row r="40" spans="1:6">
      <c r="A40" s="1248" t="s">
        <v>29</v>
      </c>
      <c r="B40" s="1248" t="s">
        <v>28</v>
      </c>
      <c r="C40" s="1249">
        <v>1</v>
      </c>
      <c r="D40" s="1249">
        <v>28984.120374999999</v>
      </c>
      <c r="E40" s="1249">
        <v>1</v>
      </c>
      <c r="F40" s="1249">
        <v>1087</v>
      </c>
    </row>
    <row r="41" spans="1:6">
      <c r="A41" s="1248" t="s">
        <v>31</v>
      </c>
      <c r="B41" s="1248" t="s">
        <v>32</v>
      </c>
      <c r="C41" s="1249">
        <v>78</v>
      </c>
      <c r="D41" s="1249">
        <v>1697201.0784</v>
      </c>
      <c r="E41" s="1249">
        <v>172</v>
      </c>
      <c r="F41" s="1249">
        <v>1675274.2786000001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51495.003013000001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29</v>
      </c>
      <c r="D48" s="1249">
        <v>13974432.119000001</v>
      </c>
      <c r="E48" s="1249">
        <v>36</v>
      </c>
      <c r="F48" s="1249">
        <v>6860275.5927999998</v>
      </c>
    </row>
    <row r="49" spans="1:6">
      <c r="A49" s="1248" t="s">
        <v>31</v>
      </c>
      <c r="B49" s="1248" t="s">
        <v>39</v>
      </c>
      <c r="C49" s="1249">
        <v>0</v>
      </c>
      <c r="D49" s="1249">
        <v>0</v>
      </c>
      <c r="E49" s="1249">
        <v>0</v>
      </c>
      <c r="F49" s="1249">
        <v>0</v>
      </c>
    </row>
    <row r="50" spans="1:6">
      <c r="A50" s="1248" t="s">
        <v>31</v>
      </c>
      <c r="B50" s="1248" t="s">
        <v>40</v>
      </c>
      <c r="C50" s="1249">
        <v>15</v>
      </c>
      <c r="D50" s="1249">
        <v>80315493.740999997</v>
      </c>
      <c r="E50" s="1249">
        <v>17</v>
      </c>
      <c r="F50" s="1249">
        <v>1069762.1385999999</v>
      </c>
    </row>
    <row r="51" spans="1:6">
      <c r="A51" s="1248" t="s">
        <v>41</v>
      </c>
      <c r="B51" s="1248" t="s">
        <v>42</v>
      </c>
      <c r="C51" s="1249">
        <v>14</v>
      </c>
      <c r="D51" s="1249">
        <v>243217.33373000001</v>
      </c>
      <c r="E51" s="1249">
        <v>152</v>
      </c>
      <c r="F51" s="1249">
        <v>2914058.5247</v>
      </c>
    </row>
    <row r="52" spans="1:6">
      <c r="A52" s="1248" t="s">
        <v>41</v>
      </c>
      <c r="B52" s="1248" t="s">
        <v>28</v>
      </c>
      <c r="C52" s="1249">
        <v>1</v>
      </c>
      <c r="D52" s="1249">
        <v>23546.097217999999</v>
      </c>
      <c r="E52" s="1249">
        <v>9</v>
      </c>
      <c r="F52" s="1249">
        <v>198016.54264</v>
      </c>
    </row>
    <row r="53" spans="1:6">
      <c r="A53" s="1248" t="s">
        <v>43</v>
      </c>
      <c r="B53" s="1248" t="s">
        <v>44</v>
      </c>
      <c r="C53" s="1249">
        <v>102</v>
      </c>
      <c r="D53" s="1249">
        <v>1726014.8282000001</v>
      </c>
      <c r="E53" s="1249">
        <v>181</v>
      </c>
      <c r="F53" s="1249">
        <v>595763.19272000005</v>
      </c>
    </row>
    <row r="54" spans="1:6">
      <c r="A54" s="1248" t="s">
        <v>45</v>
      </c>
      <c r="B54" s="1248" t="s">
        <v>46</v>
      </c>
      <c r="C54" s="1249">
        <v>0</v>
      </c>
      <c r="D54" s="1249">
        <v>0</v>
      </c>
      <c r="E54" s="1249">
        <v>1</v>
      </c>
      <c r="F54" s="1249">
        <v>907563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35</v>
      </c>
      <c r="D57" s="1249">
        <v>2899675.3161999998</v>
      </c>
      <c r="E57" s="1249">
        <v>83</v>
      </c>
      <c r="F57" s="1249">
        <v>1282365.8583</v>
      </c>
    </row>
    <row r="58" spans="1:6">
      <c r="A58" s="1248" t="s">
        <v>48</v>
      </c>
      <c r="B58" s="1248" t="s">
        <v>50</v>
      </c>
      <c r="C58" s="1249">
        <v>8</v>
      </c>
      <c r="D58" s="1249">
        <v>101697.69876</v>
      </c>
      <c r="E58" s="1249">
        <v>19</v>
      </c>
      <c r="F58" s="1249">
        <v>126641.09831</v>
      </c>
    </row>
    <row r="59" spans="1:6">
      <c r="A59" s="1248" t="s">
        <v>48</v>
      </c>
      <c r="B59" s="1248" t="s">
        <v>51</v>
      </c>
      <c r="C59" s="1249">
        <v>94</v>
      </c>
      <c r="D59" s="1249">
        <v>3236203.2313999999</v>
      </c>
      <c r="E59" s="1249">
        <v>199</v>
      </c>
      <c r="F59" s="1249">
        <v>4055548.4071</v>
      </c>
    </row>
    <row r="60" spans="1:6">
      <c r="A60" s="1248" t="s">
        <v>48</v>
      </c>
      <c r="B60" s="1248" t="s">
        <v>52</v>
      </c>
      <c r="C60" s="1249">
        <v>49</v>
      </c>
      <c r="D60" s="1249">
        <v>1988536.3281</v>
      </c>
      <c r="E60" s="1249">
        <v>54</v>
      </c>
      <c r="F60" s="1249">
        <v>1095116.0061999999</v>
      </c>
    </row>
    <row r="61" spans="1:6">
      <c r="A61" s="1248" t="s">
        <v>48</v>
      </c>
      <c r="B61" s="1248" t="s">
        <v>53</v>
      </c>
      <c r="C61" s="1249">
        <v>49</v>
      </c>
      <c r="D61" s="1249">
        <v>1295544.9696</v>
      </c>
      <c r="E61" s="1249">
        <v>138</v>
      </c>
      <c r="F61" s="1249">
        <v>1148352.6403000001</v>
      </c>
    </row>
    <row r="62" spans="1:6">
      <c r="A62" s="1248" t="s">
        <v>48</v>
      </c>
      <c r="B62" s="1248" t="s">
        <v>54</v>
      </c>
      <c r="C62" s="1249">
        <v>6</v>
      </c>
      <c r="D62" s="1249">
        <v>602530.14099999995</v>
      </c>
      <c r="E62" s="1249">
        <v>7</v>
      </c>
      <c r="F62" s="1249">
        <v>77310.780841999993</v>
      </c>
    </row>
    <row r="63" spans="1:6">
      <c r="A63" s="1248" t="s">
        <v>48</v>
      </c>
      <c r="B63" s="1248" t="s">
        <v>28</v>
      </c>
      <c r="C63" s="1249">
        <v>79</v>
      </c>
      <c r="D63" s="1249">
        <v>4591770.5443000002</v>
      </c>
      <c r="E63" s="1249">
        <v>72</v>
      </c>
      <c r="F63" s="1249">
        <v>2078308.2006999999</v>
      </c>
    </row>
    <row r="64" spans="1:6">
      <c r="A64" s="1248" t="s">
        <v>55</v>
      </c>
      <c r="B64" s="1248" t="s">
        <v>56</v>
      </c>
      <c r="C64" s="1249">
        <v>0</v>
      </c>
      <c r="D64" s="1249">
        <v>0</v>
      </c>
      <c r="E64" s="1249">
        <v>0</v>
      </c>
      <c r="F64" s="1249">
        <v>0</v>
      </c>
    </row>
    <row r="65" spans="1:6">
      <c r="A65" s="1248" t="s">
        <v>55</v>
      </c>
      <c r="B65" s="1248" t="s">
        <v>28</v>
      </c>
      <c r="C65" s="1249">
        <v>0</v>
      </c>
      <c r="D65" s="1249">
        <v>0</v>
      </c>
      <c r="E65" s="1249">
        <v>2</v>
      </c>
      <c r="F65" s="1249">
        <v>16319.634093000001</v>
      </c>
    </row>
    <row r="66" spans="1:6">
      <c r="A66" s="1248" t="s">
        <v>55</v>
      </c>
      <c r="B66" s="1248" t="s">
        <v>57</v>
      </c>
      <c r="C66" s="1249">
        <v>0</v>
      </c>
      <c r="D66" s="1249">
        <v>0</v>
      </c>
      <c r="E66" s="1249">
        <v>13</v>
      </c>
      <c r="F66" s="1249">
        <v>41816.249516999997</v>
      </c>
    </row>
    <row r="67" spans="1:6">
      <c r="A67" s="1248" t="s">
        <v>55</v>
      </c>
      <c r="B67" s="1248" t="s">
        <v>58</v>
      </c>
      <c r="C67" s="1249">
        <v>0</v>
      </c>
      <c r="D67" s="1249">
        <v>0</v>
      </c>
      <c r="E67" s="1249">
        <v>0</v>
      </c>
      <c r="F67" s="1249">
        <v>0</v>
      </c>
    </row>
    <row r="68" spans="1:6">
      <c r="A68" s="1243" t="s">
        <v>55</v>
      </c>
      <c r="B68" s="1243" t="s">
        <v>59</v>
      </c>
      <c r="C68" s="1251">
        <v>6</v>
      </c>
      <c r="D68" s="1251">
        <v>153378.89522000001</v>
      </c>
      <c r="E68" s="1251">
        <v>19</v>
      </c>
      <c r="F68" s="1251">
        <v>494753.64218999998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36837316</v>
      </c>
      <c r="E73" s="439"/>
      <c r="F73" s="322"/>
    </row>
    <row r="74" spans="1:6">
      <c r="A74" s="1248" t="s">
        <v>63</v>
      </c>
      <c r="B74" s="1248" t="s">
        <v>626</v>
      </c>
      <c r="C74" s="1261" t="s">
        <v>628</v>
      </c>
      <c r="D74" s="1249">
        <v>3167962.0204878612</v>
      </c>
      <c r="E74" s="439"/>
      <c r="F74" s="322"/>
    </row>
    <row r="75" spans="1:6">
      <c r="A75" s="1248" t="s">
        <v>64</v>
      </c>
      <c r="B75" s="1248" t="s">
        <v>625</v>
      </c>
      <c r="C75" s="1261" t="s">
        <v>629</v>
      </c>
      <c r="D75" s="1249">
        <v>17847252</v>
      </c>
      <c r="E75" s="439"/>
      <c r="F75" s="322"/>
    </row>
    <row r="76" spans="1:6">
      <c r="A76" s="1248" t="s">
        <v>64</v>
      </c>
      <c r="B76" s="1248" t="s">
        <v>626</v>
      </c>
      <c r="C76" s="1261" t="s">
        <v>630</v>
      </c>
      <c r="D76" s="1249">
        <v>585816.02048786113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312227.95902427775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3744.3774499684969</v>
      </c>
      <c r="C91" s="322"/>
      <c r="D91" s="322"/>
      <c r="E91" s="322"/>
      <c r="F91" s="322"/>
    </row>
    <row r="92" spans="1:6">
      <c r="A92" s="1243" t="s">
        <v>68</v>
      </c>
      <c r="B92" s="1244">
        <v>1647.7425609345933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2557</v>
      </c>
      <c r="C97" s="322"/>
      <c r="D97" s="322"/>
      <c r="E97" s="322"/>
      <c r="F97" s="322"/>
    </row>
    <row r="98" spans="1:6">
      <c r="A98" s="1248" t="s">
        <v>71</v>
      </c>
      <c r="B98" s="1249">
        <v>2</v>
      </c>
      <c r="C98" s="322"/>
      <c r="D98" s="322"/>
      <c r="E98" s="322"/>
      <c r="F98" s="322"/>
    </row>
    <row r="99" spans="1:6">
      <c r="A99" s="1248" t="s">
        <v>72</v>
      </c>
      <c r="B99" s="1249">
        <v>154</v>
      </c>
      <c r="C99" s="322"/>
      <c r="D99" s="322"/>
      <c r="E99" s="322"/>
      <c r="F99" s="322"/>
    </row>
    <row r="100" spans="1:6">
      <c r="A100" s="1248" t="s">
        <v>73</v>
      </c>
      <c r="B100" s="1249">
        <v>356</v>
      </c>
      <c r="C100" s="322"/>
      <c r="D100" s="322"/>
      <c r="E100" s="322"/>
      <c r="F100" s="322"/>
    </row>
    <row r="101" spans="1:6">
      <c r="A101" s="1248" t="s">
        <v>74</v>
      </c>
      <c r="B101" s="1249">
        <v>153</v>
      </c>
      <c r="C101" s="322"/>
      <c r="D101" s="322"/>
      <c r="E101" s="322"/>
      <c r="F101" s="322"/>
    </row>
    <row r="102" spans="1:6">
      <c r="A102" s="1248" t="s">
        <v>75</v>
      </c>
      <c r="B102" s="1249">
        <v>66</v>
      </c>
      <c r="C102" s="322"/>
      <c r="D102" s="322"/>
      <c r="E102" s="322"/>
      <c r="F102" s="322"/>
    </row>
    <row r="103" spans="1:6">
      <c r="A103" s="1248" t="s">
        <v>76</v>
      </c>
      <c r="B103" s="1249">
        <v>193</v>
      </c>
      <c r="C103" s="322"/>
      <c r="D103" s="322"/>
      <c r="E103" s="322"/>
      <c r="F103" s="322"/>
    </row>
    <row r="104" spans="1:6">
      <c r="A104" s="1248" t="s">
        <v>77</v>
      </c>
      <c r="B104" s="1249">
        <v>1595</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9</v>
      </c>
      <c r="C123" s="1249">
        <v>13</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167</v>
      </c>
      <c r="C129" s="322"/>
      <c r="D129" s="322"/>
      <c r="E129" s="322"/>
      <c r="F129" s="322"/>
    </row>
    <row r="130" spans="1:6">
      <c r="A130" s="1248" t="s">
        <v>284</v>
      </c>
      <c r="B130" s="1249">
        <v>3</v>
      </c>
      <c r="C130" s="322"/>
      <c r="D130" s="322"/>
      <c r="E130" s="322"/>
      <c r="F130" s="322"/>
    </row>
    <row r="131" spans="1:6">
      <c r="A131" s="1248" t="s">
        <v>285</v>
      </c>
      <c r="B131" s="1249">
        <v>2</v>
      </c>
      <c r="C131" s="322"/>
      <c r="D131" s="322"/>
      <c r="E131" s="322"/>
      <c r="F131" s="322"/>
    </row>
    <row r="132" spans="1:6">
      <c r="A132" s="1243" t="s">
        <v>286</v>
      </c>
      <c r="B132" s="1244">
        <v>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47788.629851945152</v>
      </c>
      <c r="C3" s="43" t="s">
        <v>163</v>
      </c>
      <c r="D3" s="43"/>
      <c r="E3" s="153"/>
      <c r="F3" s="43"/>
      <c r="G3" s="43"/>
      <c r="H3" s="43"/>
      <c r="I3" s="43"/>
      <c r="J3" s="43"/>
      <c r="K3" s="96"/>
    </row>
    <row r="4" spans="1:11">
      <c r="A4" s="348" t="s">
        <v>164</v>
      </c>
      <c r="B4" s="49">
        <f>IF(ISERROR('SEAP template'!B78+'SEAP template'!C78),0,'SEAP template'!B78+'SEAP template'!C78)</f>
        <v>29494.120010903091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5727.7694117647061</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0.20445984990375898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8182.5277310924384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34431.428571428572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907.56299999999999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907.56299999999999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0.20445984990375898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185.5601947582052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19888.200377999998</v>
      </c>
      <c r="C5" s="17">
        <f>IF(ISERROR('Eigen informatie GS &amp; warmtenet'!B57),0,'Eigen informatie GS &amp; warmtenet'!B57)</f>
        <v>0</v>
      </c>
      <c r="D5" s="30">
        <f>(SUM(HH_hh_gas_kWh,HH_rest_gas_kWh)/1000)*0.902</f>
        <v>51478.206113826251</v>
      </c>
      <c r="E5" s="17">
        <f>B32*B41</f>
        <v>1146.8527728220431</v>
      </c>
      <c r="F5" s="17">
        <f>B36*B45</f>
        <v>31180.656845174388</v>
      </c>
      <c r="G5" s="18"/>
      <c r="H5" s="17"/>
      <c r="I5" s="17"/>
      <c r="J5" s="17">
        <f>B35*B44+C35*C44</f>
        <v>575.02700476715927</v>
      </c>
      <c r="K5" s="17"/>
      <c r="L5" s="17"/>
      <c r="M5" s="17"/>
      <c r="N5" s="17">
        <f>B34*B43+C34*C43</f>
        <v>7516.4103139454146</v>
      </c>
      <c r="O5" s="17">
        <f>B52*B53*B54</f>
        <v>282.96333333333337</v>
      </c>
      <c r="P5" s="17">
        <f>B60*B61*B62/1000-B60*B61*B62/1000/B63</f>
        <v>362.26666666666665</v>
      </c>
    </row>
    <row r="6" spans="1:16">
      <c r="A6" s="16" t="s">
        <v>586</v>
      </c>
      <c r="B6" s="716">
        <f>kWh_PV_kleiner_dan_10kW</f>
        <v>3744.3774499684969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23632.577827968496</v>
      </c>
      <c r="C8" s="21">
        <f>C5</f>
        <v>0</v>
      </c>
      <c r="D8" s="21">
        <f>D5</f>
        <v>51478.206113826251</v>
      </c>
      <c r="E8" s="21">
        <f>E5</f>
        <v>1146.8527728220431</v>
      </c>
      <c r="F8" s="21">
        <f>F5</f>
        <v>31180.656845174388</v>
      </c>
      <c r="G8" s="21"/>
      <c r="H8" s="21"/>
      <c r="I8" s="21"/>
      <c r="J8" s="21">
        <f>J5</f>
        <v>575.02700476715927</v>
      </c>
      <c r="K8" s="21"/>
      <c r="L8" s="21">
        <f>L5</f>
        <v>0</v>
      </c>
      <c r="M8" s="21">
        <f>M5</f>
        <v>0</v>
      </c>
      <c r="N8" s="21">
        <f>N5</f>
        <v>7516.4103139454146</v>
      </c>
      <c r="O8" s="21">
        <f>O5</f>
        <v>282.96333333333337</v>
      </c>
      <c r="P8" s="21">
        <f>P5</f>
        <v>362.26666666666665</v>
      </c>
    </row>
    <row r="9" spans="1:16">
      <c r="B9" s="19"/>
      <c r="C9" s="19"/>
      <c r="D9" s="253"/>
      <c r="E9" s="19"/>
      <c r="F9" s="19"/>
      <c r="G9" s="19"/>
      <c r="H9" s="19"/>
      <c r="I9" s="19"/>
      <c r="J9" s="19"/>
      <c r="K9" s="19"/>
      <c r="L9" s="19"/>
      <c r="M9" s="19"/>
      <c r="N9" s="19"/>
      <c r="O9" s="19"/>
      <c r="P9" s="19"/>
    </row>
    <row r="10" spans="1:16">
      <c r="A10" s="24" t="s">
        <v>207</v>
      </c>
      <c r="B10" s="25">
        <f ca="1">'EF ele_warmte'!B12</f>
        <v>0.20445984990375898</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4831.913315545341</v>
      </c>
      <c r="C12" s="23">
        <f ca="1">C10*C8</f>
        <v>0</v>
      </c>
      <c r="D12" s="23">
        <f>D8*D10</f>
        <v>10398.597634992904</v>
      </c>
      <c r="E12" s="23">
        <f>E10*E8</f>
        <v>260.33557943060379</v>
      </c>
      <c r="F12" s="23">
        <f>F10*F8</f>
        <v>8325.2353776615619</v>
      </c>
      <c r="G12" s="23"/>
      <c r="H12" s="23"/>
      <c r="I12" s="23"/>
      <c r="J12" s="23">
        <f>J10*J8</f>
        <v>203.55955968757436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5780</v>
      </c>
      <c r="C26" s="36"/>
      <c r="D26" s="224"/>
    </row>
    <row r="27" spans="1:5" s="15" customFormat="1">
      <c r="A27" s="226" t="s">
        <v>655</v>
      </c>
      <c r="B27" s="37">
        <f>SUM(HH_hh_gas_aantal,HH_rest_gas_aantal)</f>
        <v>3772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3583.4</v>
      </c>
      <c r="C31" s="34" t="s">
        <v>104</v>
      </c>
      <c r="D31" s="170"/>
    </row>
    <row r="32" spans="1:5">
      <c r="A32" s="167" t="s">
        <v>72</v>
      </c>
      <c r="B32" s="33">
        <f>IF((B21*($B$26-($B$27-0.05*$B$27)-$B$60))&lt;0,0,B21*($B$26-($B$27-0.05*$B$27)-$B$60))</f>
        <v>14.052982267611847</v>
      </c>
      <c r="C32" s="34" t="s">
        <v>104</v>
      </c>
      <c r="D32" s="170"/>
    </row>
    <row r="33" spans="1:6">
      <c r="A33" s="167" t="s">
        <v>73</v>
      </c>
      <c r="B33" s="33">
        <f>IF((B22*($B$26-($B$27-0.05*$B$27)-$B$60))&lt;0,0,B22*($B$26-($B$27-0.05*$B$27)-$B$60))</f>
        <v>489.37589303070695</v>
      </c>
      <c r="C33" s="34" t="s">
        <v>104</v>
      </c>
      <c r="D33" s="170"/>
    </row>
    <row r="34" spans="1:6">
      <c r="A34" s="167" t="s">
        <v>74</v>
      </c>
      <c r="B34" s="33">
        <f>IF((B24*($B$26-($B$27-0.05*$B$27)-$B$60))&lt;0,0,B24*($B$26-($B$27-0.05*$B$27)-$B$60))</f>
        <v>97.18002424657071</v>
      </c>
      <c r="C34" s="33">
        <f>B26*C24</f>
        <v>1182.948327504286</v>
      </c>
      <c r="D34" s="229"/>
    </row>
    <row r="35" spans="1:6">
      <c r="A35" s="167" t="s">
        <v>76</v>
      </c>
      <c r="B35" s="33">
        <f>IF((B19*($B$26-($B$27-0.05*$B$27)-$B$60))&lt;0,0,B19*($B$26-($B$27-0.05*$B$27)-$B$60))</f>
        <v>47.457901230387129</v>
      </c>
      <c r="C35" s="33">
        <f>B35/2</f>
        <v>23.728950615193565</v>
      </c>
      <c r="D35" s="229"/>
    </row>
    <row r="36" spans="1:6">
      <c r="A36" s="167" t="s">
        <v>77</v>
      </c>
      <c r="B36" s="33">
        <f>IF((B18*($B$26-($B$27-0.05*$B$27)-$B$60))&lt;0,0,B18*($B$26-($B$27-0.05*$B$27)-$B$60))</f>
        <v>1529.5331992247238</v>
      </c>
      <c r="C36" s="34" t="s">
        <v>104</v>
      </c>
      <c r="D36" s="170"/>
    </row>
    <row r="37" spans="1:6">
      <c r="A37" s="167" t="s">
        <v>78</v>
      </c>
      <c r="B37" s="33">
        <f>B60</f>
        <v>19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9863.6429917519999</v>
      </c>
      <c r="C5" s="17">
        <f>IF(ISERROR('Eigen informatie GS &amp; warmtenet'!B58),0,'Eigen informatie GS &amp; warmtenet'!B58)</f>
        <v>0</v>
      </c>
      <c r="D5" s="30">
        <f>SUM(D6:D12)</f>
        <v>13273.794322882721</v>
      </c>
      <c r="E5" s="17">
        <f>SUM(E6:E12)</f>
        <v>192.15532003082845</v>
      </c>
      <c r="F5" s="17">
        <f>SUM(F6:F12)</f>
        <v>2353.3362617230869</v>
      </c>
      <c r="G5" s="18"/>
      <c r="H5" s="17"/>
      <c r="I5" s="17"/>
      <c r="J5" s="17">
        <f>SUM(J6:J12)</f>
        <v>2.0084898531478188E-2</v>
      </c>
      <c r="K5" s="17"/>
      <c r="L5" s="17"/>
      <c r="M5" s="17"/>
      <c r="N5" s="17">
        <f>SUM(N6:N12)</f>
        <v>710.63340821874544</v>
      </c>
      <c r="O5" s="17">
        <f>B38*B39*B40</f>
        <v>4.6900000000000004</v>
      </c>
      <c r="P5" s="17">
        <f>B46*B47*B48/1000-B46*B47*B48/1000/B49</f>
        <v>38.133333333333333</v>
      </c>
      <c r="R5" s="32"/>
    </row>
    <row r="6" spans="1:18">
      <c r="A6" s="32" t="s">
        <v>53</v>
      </c>
      <c r="B6" s="37">
        <f>B26</f>
        <v>1148.3526403000001</v>
      </c>
      <c r="C6" s="33"/>
      <c r="D6" s="37">
        <f>IF(ISERROR(TER_kantoor_gas_kWh/1000),0,TER_kantoor_gas_kWh/1000)*0.902</f>
        <v>1168.5815625792002</v>
      </c>
      <c r="E6" s="33">
        <f>$C$26*'E Balans VL '!I12/100/3.6*1000000</f>
        <v>6.5377620494406744E-19</v>
      </c>
      <c r="F6" s="33">
        <f>$C$26*('E Balans VL '!L12+'E Balans VL '!N12)/100/3.6*1000000</f>
        <v>155.23835535426383</v>
      </c>
      <c r="G6" s="34"/>
      <c r="H6" s="33"/>
      <c r="I6" s="33"/>
      <c r="J6" s="33">
        <f>$C$26*('E Balans VL '!D12+'E Balans VL '!E12)/100/3.6*1000000</f>
        <v>0</v>
      </c>
      <c r="K6" s="33"/>
      <c r="L6" s="33"/>
      <c r="M6" s="33"/>
      <c r="N6" s="33">
        <f>$C$26*'E Balans VL '!Y12/100/3.6*1000000</f>
        <v>1.4432459337750887</v>
      </c>
      <c r="O6" s="33"/>
      <c r="P6" s="33"/>
      <c r="R6" s="32"/>
    </row>
    <row r="7" spans="1:18">
      <c r="A7" s="32" t="s">
        <v>52</v>
      </c>
      <c r="B7" s="37">
        <f t="shared" ref="B7:B12" si="0">B27</f>
        <v>1095.1160061999999</v>
      </c>
      <c r="C7" s="33"/>
      <c r="D7" s="37">
        <f>IF(ISERROR(TER_horeca_gas_kWh/1000),0,TER_horeca_gas_kWh/1000)*0.902</f>
        <v>1793.6597679462</v>
      </c>
      <c r="E7" s="33">
        <f>$C$27*'E Balans VL '!I9/100/3.6*1000000</f>
        <v>13.986859750315841</v>
      </c>
      <c r="F7" s="33">
        <f>$C$27*('E Balans VL '!L9+'E Balans VL '!N9)/100/3.6*1000000</f>
        <v>123.68843235730046</v>
      </c>
      <c r="G7" s="34"/>
      <c r="H7" s="33"/>
      <c r="I7" s="33"/>
      <c r="J7" s="33">
        <f>$C$27*('E Balans VL '!D9+'E Balans VL '!E9)/100/3.6*1000000</f>
        <v>0</v>
      </c>
      <c r="K7" s="33"/>
      <c r="L7" s="33"/>
      <c r="M7" s="33"/>
      <c r="N7" s="33">
        <f>$C$27*'E Balans VL '!Y9/100/3.6*1000000</f>
        <v>0.26097079278365631</v>
      </c>
      <c r="O7" s="33"/>
      <c r="P7" s="33"/>
      <c r="R7" s="32"/>
    </row>
    <row r="8" spans="1:18">
      <c r="A8" s="6" t="s">
        <v>51</v>
      </c>
      <c r="B8" s="37">
        <f t="shared" si="0"/>
        <v>4055.5484071000001</v>
      </c>
      <c r="C8" s="33"/>
      <c r="D8" s="37">
        <f>IF(ISERROR(TER_handel_gas_kWh/1000),0,TER_handel_gas_kWh/1000)*0.902</f>
        <v>2919.0553147227997</v>
      </c>
      <c r="E8" s="33">
        <f>$C$28*'E Balans VL '!I13/100/3.6*1000000</f>
        <v>132.44762835875721</v>
      </c>
      <c r="F8" s="33">
        <f>$C$28*('E Balans VL '!L13+'E Balans VL '!N13)/100/3.6*1000000</f>
        <v>702.18525470680163</v>
      </c>
      <c r="G8" s="34"/>
      <c r="H8" s="33"/>
      <c r="I8" s="33"/>
      <c r="J8" s="33">
        <f>$C$28*('E Balans VL '!D13+'E Balans VL '!E13)/100/3.6*1000000</f>
        <v>0</v>
      </c>
      <c r="K8" s="33"/>
      <c r="L8" s="33"/>
      <c r="M8" s="33"/>
      <c r="N8" s="33">
        <f>$C$28*'E Balans VL '!Y13/100/3.6*1000000</f>
        <v>4.7732679749949325</v>
      </c>
      <c r="O8" s="33"/>
      <c r="P8" s="33"/>
      <c r="R8" s="32"/>
    </row>
    <row r="9" spans="1:18">
      <c r="A9" s="32" t="s">
        <v>50</v>
      </c>
      <c r="B9" s="37">
        <f t="shared" si="0"/>
        <v>126.64109831</v>
      </c>
      <c r="C9" s="33"/>
      <c r="D9" s="37">
        <f>IF(ISERROR(TER_gezond_gas_kWh/1000),0,TER_gezond_gas_kWh/1000)*0.902</f>
        <v>91.731324281520003</v>
      </c>
      <c r="E9" s="33">
        <f>$C$29*'E Balans VL '!I10/100/3.6*1000000</f>
        <v>7.0719571388164282E-3</v>
      </c>
      <c r="F9" s="33">
        <f>$C$29*('E Balans VL '!L10+'E Balans VL '!N10)/100/3.6*1000000</f>
        <v>16.779474403352602</v>
      </c>
      <c r="G9" s="34"/>
      <c r="H9" s="33"/>
      <c r="I9" s="33"/>
      <c r="J9" s="33">
        <f>$C$29*('E Balans VL '!D10+'E Balans VL '!E10)/100/3.6*1000000</f>
        <v>0</v>
      </c>
      <c r="K9" s="33"/>
      <c r="L9" s="33"/>
      <c r="M9" s="33"/>
      <c r="N9" s="33">
        <f>$C$29*'E Balans VL '!Y10/100/3.6*1000000</f>
        <v>1.3423105226412682</v>
      </c>
      <c r="O9" s="33"/>
      <c r="P9" s="33"/>
      <c r="R9" s="32"/>
    </row>
    <row r="10" spans="1:18">
      <c r="A10" s="32" t="s">
        <v>49</v>
      </c>
      <c r="B10" s="37">
        <f t="shared" si="0"/>
        <v>1282.3658582999999</v>
      </c>
      <c r="C10" s="33"/>
      <c r="D10" s="37">
        <f>IF(ISERROR(TER_ander_gas_kWh/1000),0,TER_ander_gas_kWh/1000)*0.902</f>
        <v>2615.5071352123996</v>
      </c>
      <c r="E10" s="33">
        <f>$C$30*'E Balans VL '!I14/100/3.6*1000000</f>
        <v>16.559735584926827</v>
      </c>
      <c r="F10" s="33">
        <f>$C$30*('E Balans VL '!L14+'E Balans VL '!N14)/100/3.6*1000000</f>
        <v>846.45293394329076</v>
      </c>
      <c r="G10" s="34"/>
      <c r="H10" s="33"/>
      <c r="I10" s="33"/>
      <c r="J10" s="33">
        <f>$C$30*('E Balans VL '!D14+'E Balans VL '!E14)/100/3.6*1000000</f>
        <v>1.5534854882819469E-2</v>
      </c>
      <c r="K10" s="33"/>
      <c r="L10" s="33"/>
      <c r="M10" s="33"/>
      <c r="N10" s="33">
        <f>$C$30*'E Balans VL '!Y14/100/3.6*1000000</f>
        <v>540.76846120470293</v>
      </c>
      <c r="O10" s="33"/>
      <c r="P10" s="33"/>
      <c r="R10" s="32"/>
    </row>
    <row r="11" spans="1:18">
      <c r="A11" s="32" t="s">
        <v>54</v>
      </c>
      <c r="B11" s="37">
        <f t="shared" si="0"/>
        <v>77.310780842</v>
      </c>
      <c r="C11" s="33"/>
      <c r="D11" s="37">
        <f>IF(ISERROR(TER_onderwijs_gas_kWh/1000),0,TER_onderwijs_gas_kWh/1000)*0.902</f>
        <v>543.48218718199996</v>
      </c>
      <c r="E11" s="33">
        <f>$C$31*'E Balans VL '!I11/100/3.6*1000000</f>
        <v>1.0404113207329473</v>
      </c>
      <c r="F11" s="33">
        <f>$C$31*('E Balans VL '!L11+'E Balans VL '!N11)/100/3.6*1000000</f>
        <v>12.08191810717484</v>
      </c>
      <c r="G11" s="34"/>
      <c r="H11" s="33"/>
      <c r="I11" s="33"/>
      <c r="J11" s="33">
        <f>$C$31*('E Balans VL '!D11+'E Balans VL '!E11)/100/3.6*1000000</f>
        <v>0</v>
      </c>
      <c r="K11" s="33"/>
      <c r="L11" s="33"/>
      <c r="M11" s="33"/>
      <c r="N11" s="33">
        <f>$C$31*'E Balans VL '!Y11/100/3.6*1000000</f>
        <v>0.1785142563622627</v>
      </c>
      <c r="O11" s="33"/>
      <c r="P11" s="33"/>
      <c r="R11" s="32"/>
    </row>
    <row r="12" spans="1:18">
      <c r="A12" s="32" t="s">
        <v>249</v>
      </c>
      <c r="B12" s="37">
        <f t="shared" si="0"/>
        <v>2078.3082006999998</v>
      </c>
      <c r="C12" s="33"/>
      <c r="D12" s="37">
        <f>IF(ISERROR(TER_rest_gas_kWh/1000),0,TER_rest_gas_kWh/1000)*0.902</f>
        <v>4141.7770309586003</v>
      </c>
      <c r="E12" s="33">
        <f>$C$32*'E Balans VL '!I8/100/3.6*1000000</f>
        <v>28.113613058956851</v>
      </c>
      <c r="F12" s="33">
        <f>$C$32*('E Balans VL '!L8+'E Balans VL '!N8)/100/3.6*1000000</f>
        <v>496.90989285090274</v>
      </c>
      <c r="G12" s="34"/>
      <c r="H12" s="33"/>
      <c r="I12" s="33"/>
      <c r="J12" s="33">
        <f>$C$32*('E Balans VL '!D8+'E Balans VL '!E8)/100/3.6*1000000</f>
        <v>4.550043648658718E-3</v>
      </c>
      <c r="K12" s="33"/>
      <c r="L12" s="33"/>
      <c r="M12" s="33"/>
      <c r="N12" s="33">
        <f>$C$32*'E Balans VL '!Y8/100/3.6*1000000</f>
        <v>161.86663753348518</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9863.6429917519999</v>
      </c>
      <c r="C16" s="21">
        <f t="shared" ca="1" si="1"/>
        <v>0</v>
      </c>
      <c r="D16" s="21">
        <f t="shared" ca="1" si="1"/>
        <v>13273.794322882721</v>
      </c>
      <c r="E16" s="21">
        <f t="shared" si="1"/>
        <v>192.15532003082845</v>
      </c>
      <c r="F16" s="21">
        <f t="shared" ca="1" si="1"/>
        <v>2353.3362617230869</v>
      </c>
      <c r="G16" s="21">
        <f t="shared" si="1"/>
        <v>0</v>
      </c>
      <c r="H16" s="21">
        <f t="shared" si="1"/>
        <v>0</v>
      </c>
      <c r="I16" s="21">
        <f t="shared" si="1"/>
        <v>0</v>
      </c>
      <c r="J16" s="21">
        <f t="shared" si="1"/>
        <v>2.0084898531478188E-2</v>
      </c>
      <c r="K16" s="21">
        <f t="shared" si="1"/>
        <v>0</v>
      </c>
      <c r="L16" s="21">
        <f t="shared" ca="1" si="1"/>
        <v>0</v>
      </c>
      <c r="M16" s="21">
        <f t="shared" si="1"/>
        <v>0</v>
      </c>
      <c r="N16" s="21">
        <f t="shared" ca="1" si="1"/>
        <v>710.63340821874544</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0.20445984990375898</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2016.7189655978782</v>
      </c>
      <c r="C20" s="23">
        <f t="shared" ref="C20:P20" ca="1" si="2">C16*C18</f>
        <v>0</v>
      </c>
      <c r="D20" s="23">
        <f t="shared" ca="1" si="2"/>
        <v>2681.3064532223098</v>
      </c>
      <c r="E20" s="23">
        <f t="shared" si="2"/>
        <v>43.619257646998058</v>
      </c>
      <c r="F20" s="23">
        <f t="shared" ca="1" si="2"/>
        <v>628.34078188006424</v>
      </c>
      <c r="G20" s="23">
        <f t="shared" si="2"/>
        <v>0</v>
      </c>
      <c r="H20" s="23">
        <f t="shared" si="2"/>
        <v>0</v>
      </c>
      <c r="I20" s="23">
        <f t="shared" si="2"/>
        <v>0</v>
      </c>
      <c r="J20" s="23">
        <f t="shared" si="2"/>
        <v>7.1100540801432785E-3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1148.3526403000001</v>
      </c>
      <c r="C26" s="39">
        <f>IF(ISERROR(B26*3.6/1000000/'E Balans VL '!Z12*100),0,B26*3.6/1000000/'E Balans VL '!Z12*100)</f>
        <v>3.0811692391800219E-2</v>
      </c>
      <c r="D26" s="232" t="s">
        <v>621</v>
      </c>
      <c r="F26" s="6"/>
    </row>
    <row r="27" spans="1:18">
      <c r="A27" s="227" t="s">
        <v>52</v>
      </c>
      <c r="B27" s="33">
        <f>IF(ISERROR(TER_horeca_ele_kWh/1000),0,TER_horeca_ele_kWh/1000)</f>
        <v>1095.1160061999999</v>
      </c>
      <c r="C27" s="39">
        <f>IF(ISERROR(B27*3.6/1000000/'E Balans VL '!Z9*100),0,B27*3.6/1000000/'E Balans VL '!Z9*100)</f>
        <v>8.6999317104047902E-2</v>
      </c>
      <c r="D27" s="232" t="s">
        <v>621</v>
      </c>
      <c r="F27" s="6"/>
    </row>
    <row r="28" spans="1:18">
      <c r="A28" s="167" t="s">
        <v>51</v>
      </c>
      <c r="B28" s="33">
        <f>IF(ISERROR(TER_handel_ele_kWh/1000),0,TER_handel_ele_kWh/1000)</f>
        <v>4055.5484071000001</v>
      </c>
      <c r="C28" s="39">
        <f>IF(ISERROR(B28*3.6/1000000/'E Balans VL '!Z13*100),0,B28*3.6/1000000/'E Balans VL '!Z13*100)</f>
        <v>0.11862431130293621</v>
      </c>
      <c r="D28" s="232" t="s">
        <v>621</v>
      </c>
      <c r="F28" s="6"/>
    </row>
    <row r="29" spans="1:18">
      <c r="A29" s="227" t="s">
        <v>50</v>
      </c>
      <c r="B29" s="33">
        <f>IF(ISERROR(TER_gezond_ele_kWh/1000),0,TER_gezond_ele_kWh/1000)</f>
        <v>126.64109831</v>
      </c>
      <c r="C29" s="39">
        <f>IF(ISERROR(B29*3.6/1000000/'E Balans VL '!Z10*100),0,B29*3.6/1000000/'E Balans VL '!Z10*100)</f>
        <v>1.344116776634972E-2</v>
      </c>
      <c r="D29" s="232" t="s">
        <v>621</v>
      </c>
      <c r="F29" s="6"/>
    </row>
    <row r="30" spans="1:18">
      <c r="A30" s="227" t="s">
        <v>49</v>
      </c>
      <c r="B30" s="33">
        <f>IF(ISERROR(TER_ander_ele_kWh/1000),0,TER_ander_ele_kWh/1000)</f>
        <v>1282.3658582999999</v>
      </c>
      <c r="C30" s="39">
        <f>IF(ISERROR(B30*3.6/1000000/'E Balans VL '!Z14*100),0,B30*3.6/1000000/'E Balans VL '!Z14*100)</f>
        <v>5.9647480352122528E-2</v>
      </c>
      <c r="D30" s="232" t="s">
        <v>621</v>
      </c>
      <c r="F30" s="6"/>
    </row>
    <row r="31" spans="1:18">
      <c r="A31" s="227" t="s">
        <v>54</v>
      </c>
      <c r="B31" s="33">
        <f>IF(ISERROR(TER_onderwijs_ele_kWh/1000),0,TER_onderwijs_ele_kWh/1000)</f>
        <v>77.310780842</v>
      </c>
      <c r="C31" s="39">
        <f>IF(ISERROR(B31*3.6/1000000/'E Balans VL '!Z11*100),0,B31*3.6/1000000/'E Balans VL '!Z11*100)</f>
        <v>1.9349286123886533E-2</v>
      </c>
      <c r="D31" s="232" t="s">
        <v>621</v>
      </c>
    </row>
    <row r="32" spans="1:18">
      <c r="A32" s="227" t="s">
        <v>249</v>
      </c>
      <c r="B32" s="33">
        <f>IF(ISERROR(TER_rest_ele_kWh/1000),0,TER_rest_ele_kWh/1000)</f>
        <v>2078.3082006999998</v>
      </c>
      <c r="C32" s="39">
        <f>IF(ISERROR(B32*3.6/1000000/'E Balans VL '!Z8*100),0,B32*3.6/1000000/'E Balans VL '!Z8*100)</f>
        <v>1.7470304111744224E-2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9656.807013013</v>
      </c>
      <c r="C5" s="17">
        <f>IF(ISERROR('Eigen informatie GS &amp; warmtenet'!B59),0,'Eigen informatie GS &amp; warmtenet'!B59)</f>
        <v>0</v>
      </c>
      <c r="D5" s="30">
        <f>SUM(D6:D15)</f>
        <v>86580.388498436805</v>
      </c>
      <c r="E5" s="17">
        <f>SUM(E6:E15)</f>
        <v>828.86684258445007</v>
      </c>
      <c r="F5" s="17">
        <f>SUM(F6:F15)</f>
        <v>3202.0654197711183</v>
      </c>
      <c r="G5" s="18"/>
      <c r="H5" s="17"/>
      <c r="I5" s="17"/>
      <c r="J5" s="17">
        <f>SUM(J6:J15)</f>
        <v>55.61704694290583</v>
      </c>
      <c r="K5" s="17"/>
      <c r="L5" s="17"/>
      <c r="M5" s="17"/>
      <c r="N5" s="17">
        <f>SUM(N6:N15)</f>
        <v>920.87462952585929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51.495003013000002</v>
      </c>
      <c r="C8" s="33"/>
      <c r="D8" s="37">
        <f>IF( ISERROR(IND_metaal_Gas_kWH/1000),0,IND_metaal_Gas_kWH/1000)*0.902</f>
        <v>0</v>
      </c>
      <c r="E8" s="33">
        <f>C30*'E Balans VL '!I18/100/3.6*1000000</f>
        <v>1.8529459913520692</v>
      </c>
      <c r="F8" s="33">
        <f>C30*'E Balans VL '!L18/100/3.6*1000000+C30*'E Balans VL '!N18/100/3.6*1000000</f>
        <v>22.486198527377937</v>
      </c>
      <c r="G8" s="34"/>
      <c r="H8" s="33"/>
      <c r="I8" s="33"/>
      <c r="J8" s="40">
        <f>C30*'E Balans VL '!D18/100/3.6*1000000+C30*'E Balans VL '!E18/100/3.6*1000000</f>
        <v>0</v>
      </c>
      <c r="K8" s="33"/>
      <c r="L8" s="33"/>
      <c r="M8" s="33"/>
      <c r="N8" s="33">
        <f>C30*'E Balans VL '!Y18/100/3.6*1000000</f>
        <v>2.5808945564490022</v>
      </c>
      <c r="O8" s="33"/>
      <c r="P8" s="33"/>
      <c r="R8" s="32"/>
    </row>
    <row r="9" spans="1:18">
      <c r="A9" s="6" t="s">
        <v>32</v>
      </c>
      <c r="B9" s="37">
        <f t="shared" si="0"/>
        <v>1675.2742786000001</v>
      </c>
      <c r="C9" s="33"/>
      <c r="D9" s="37">
        <f>IF( ISERROR(IND_andere_gas_kWh/1000),0,IND_andere_gas_kWh/1000)*0.902</f>
        <v>1530.8753727168</v>
      </c>
      <c r="E9" s="33">
        <f>C31*'E Balans VL '!I19/100/3.6*1000000</f>
        <v>427.49209175651112</v>
      </c>
      <c r="F9" s="33">
        <f>C31*'E Balans VL '!L19/100/3.6*1000000+C31*'E Balans VL '!N19/100/3.6*1000000</f>
        <v>1442.2852353645294</v>
      </c>
      <c r="G9" s="34"/>
      <c r="H9" s="33"/>
      <c r="I9" s="33"/>
      <c r="J9" s="40">
        <f>C31*'E Balans VL '!D19/100/3.6*1000000+C31*'E Balans VL '!E19/100/3.6*1000000</f>
        <v>0</v>
      </c>
      <c r="K9" s="33"/>
      <c r="L9" s="33"/>
      <c r="M9" s="33"/>
      <c r="N9" s="33">
        <f>C31*'E Balans VL '!Y19/100/3.6*1000000</f>
        <v>132.15953699720686</v>
      </c>
      <c r="O9" s="33"/>
      <c r="P9" s="33"/>
      <c r="R9" s="32"/>
    </row>
    <row r="10" spans="1:18">
      <c r="A10" s="6" t="s">
        <v>40</v>
      </c>
      <c r="B10" s="37">
        <f t="shared" si="0"/>
        <v>1069.7621385999998</v>
      </c>
      <c r="C10" s="33"/>
      <c r="D10" s="37">
        <f>IF( ISERROR(IND_voed_gas_kWh/1000),0,IND_voed_gas_kWh/1000)*0.902</f>
        <v>72444.575354382003</v>
      </c>
      <c r="E10" s="33">
        <f>C32*'E Balans VL '!I20/100/3.6*1000000</f>
        <v>27.194822467002478</v>
      </c>
      <c r="F10" s="33">
        <f>C32*'E Balans VL '!L20/100/3.6*1000000+C32*'E Balans VL '!N20/100/3.6*1000000</f>
        <v>242.07111345059241</v>
      </c>
      <c r="G10" s="34"/>
      <c r="H10" s="33"/>
      <c r="I10" s="33"/>
      <c r="J10" s="40">
        <f>C32*'E Balans VL '!D20/100/3.6*1000000+C32*'E Balans VL '!E20/100/3.6*1000000</f>
        <v>0</v>
      </c>
      <c r="K10" s="33"/>
      <c r="L10" s="33"/>
      <c r="M10" s="33"/>
      <c r="N10" s="33">
        <f>C32*'E Balans VL '!Y20/100/3.6*1000000</f>
        <v>401.18979901832654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6860.2755927999997</v>
      </c>
      <c r="C15" s="33"/>
      <c r="D15" s="37">
        <f>IF( ISERROR(IND_rest_gas_kWh/1000),0,IND_rest_gas_kWh/1000)*0.902</f>
        <v>12604.937771338002</v>
      </c>
      <c r="E15" s="33">
        <f>C37*'E Balans VL '!I15/100/3.6*1000000</f>
        <v>372.32698236958441</v>
      </c>
      <c r="F15" s="33">
        <f>C37*'E Balans VL '!L15/100/3.6*1000000+C37*'E Balans VL '!N15/100/3.6*1000000</f>
        <v>1495.222872428619</v>
      </c>
      <c r="G15" s="34"/>
      <c r="H15" s="33"/>
      <c r="I15" s="33"/>
      <c r="J15" s="40">
        <f>C37*'E Balans VL '!D15/100/3.6*1000000+C37*'E Balans VL '!E15/100/3.6*1000000</f>
        <v>55.61704694290583</v>
      </c>
      <c r="K15" s="33"/>
      <c r="L15" s="33"/>
      <c r="M15" s="33"/>
      <c r="N15" s="33">
        <f>C37*'E Balans VL '!Y15/100/3.6*1000000</f>
        <v>384.94439895387694</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9656.807013013</v>
      </c>
      <c r="C18" s="21">
        <f>C5+C16</f>
        <v>0</v>
      </c>
      <c r="D18" s="21">
        <f>MAX((D5+D16),0)</f>
        <v>86580.388498436805</v>
      </c>
      <c r="E18" s="21">
        <f>MAX((E5+E16),0)</f>
        <v>828.86684258445007</v>
      </c>
      <c r="F18" s="21">
        <f>MAX((F5+F16),0)</f>
        <v>3202.0654197711183</v>
      </c>
      <c r="G18" s="21"/>
      <c r="H18" s="21"/>
      <c r="I18" s="21"/>
      <c r="J18" s="21">
        <f>MAX((J5+J16),0)</f>
        <v>55.61704694290583</v>
      </c>
      <c r="K18" s="21"/>
      <c r="L18" s="21">
        <f>MAX((L5+L16),0)</f>
        <v>0</v>
      </c>
      <c r="M18" s="21"/>
      <c r="N18" s="21">
        <f>MAX((N5+N16),0)</f>
        <v>920.87462952585929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0.20445984990375898</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1974.4293124302051</v>
      </c>
      <c r="C22" s="23">
        <f ca="1">C18*C20</f>
        <v>0</v>
      </c>
      <c r="D22" s="23">
        <f>D18*D20</f>
        <v>17489.238476684237</v>
      </c>
      <c r="E22" s="23">
        <f>E18*E20</f>
        <v>188.15277326667018</v>
      </c>
      <c r="F22" s="23">
        <f>F18*F20</f>
        <v>854.95146707888864</v>
      </c>
      <c r="G22" s="23"/>
      <c r="H22" s="23"/>
      <c r="I22" s="23"/>
      <c r="J22" s="23">
        <f>J18*J20</f>
        <v>19.688434617788662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51.495003013000002</v>
      </c>
      <c r="C30" s="39">
        <f>IF(ISERROR(B30*3.6/1000000/'E Balans VL '!Z18*100),0,B30*3.6/1000000/'E Balans VL '!Z18*100)</f>
        <v>1.0910687114687245E-2</v>
      </c>
      <c r="D30" s="232" t="s">
        <v>621</v>
      </c>
    </row>
    <row r="31" spans="1:18">
      <c r="A31" s="6" t="s">
        <v>32</v>
      </c>
      <c r="B31" s="37">
        <f>IF( ISERROR(IND_ander_ele_kWh/1000),0,IND_ander_ele_kWh/1000)</f>
        <v>1675.2742786000001</v>
      </c>
      <c r="C31" s="39">
        <f>IF(ISERROR(B31*3.6/1000000/'E Balans VL '!Z19*100),0,B31*3.6/1000000/'E Balans VL '!Z19*100)</f>
        <v>7.0516098373171993E-2</v>
      </c>
      <c r="D31" s="232" t="s">
        <v>621</v>
      </c>
    </row>
    <row r="32" spans="1:18">
      <c r="A32" s="167" t="s">
        <v>40</v>
      </c>
      <c r="B32" s="37">
        <f>IF( ISERROR(IND_voed_ele_kWh/1000),0,IND_voed_ele_kWh/1000)</f>
        <v>1069.7621385999998</v>
      </c>
      <c r="C32" s="39">
        <f>IF(ISERROR(B32*3.6/1000000/'E Balans VL '!Z20*100),0,B32*3.6/1000000/'E Balans VL '!Z20*100)</f>
        <v>0.17871586877928797</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6860.2755927999997</v>
      </c>
      <c r="C37" s="39">
        <f>IF(ISERROR(B37*3.6/1000000/'E Balans VL '!Z15*100),0,B37*3.6/1000000/'E Balans VL '!Z15*100)</f>
        <v>5.5385661281137623E-2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3112.0750673400003</v>
      </c>
      <c r="C5" s="17">
        <f>'Eigen informatie GS &amp; warmtenet'!B60</f>
        <v>0</v>
      </c>
      <c r="D5" s="30">
        <f>IF(ISERROR(SUM(LB_lb_gas_kWh,LB_rest_gas_kWh)/1000),0,SUM(LB_lb_gas_kWh,LB_rest_gas_kWh)/1000)*0.902</f>
        <v>240.62061471509602</v>
      </c>
      <c r="E5" s="17">
        <f>B17*'E Balans VL '!I25/3.6*1000000/100</f>
        <v>61.652883491415814</v>
      </c>
      <c r="F5" s="17">
        <f>B17*('E Balans VL '!L25/3.6*1000000+'E Balans VL '!N25/3.6*1000000)/100</f>
        <v>11348.860035577316</v>
      </c>
      <c r="G5" s="18"/>
      <c r="H5" s="17"/>
      <c r="I5" s="17"/>
      <c r="J5" s="17">
        <f>('E Balans VL '!D25+'E Balans VL '!E25)/3.6*1000000*landbouw!B17/100</f>
        <v>738.93200365500206</v>
      </c>
      <c r="K5" s="17"/>
      <c r="L5" s="17">
        <f>L6*(-1)</f>
        <v>0</v>
      </c>
      <c r="M5" s="17"/>
      <c r="N5" s="17">
        <f>N6*(-1)</f>
        <v>0</v>
      </c>
      <c r="O5" s="17"/>
      <c r="P5" s="17"/>
      <c r="R5" s="32"/>
    </row>
    <row r="6" spans="1:18">
      <c r="A6" s="16" t="s">
        <v>477</v>
      </c>
      <c r="B6" s="17" t="s">
        <v>204</v>
      </c>
      <c r="C6" s="17">
        <f>'lokale energieproductie'!O39+'lokale energieproductie'!O32</f>
        <v>34431.428571428572</v>
      </c>
      <c r="D6" s="300">
        <f>('lokale energieproductie'!P32+'lokale energieproductie'!P39)*(-1)</f>
        <v>-68862.857142857145</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3112.0750673400003</v>
      </c>
      <c r="C8" s="21">
        <f>C5+C6</f>
        <v>34431.428571428572</v>
      </c>
      <c r="D8" s="21">
        <f>MAX((D5+D6),0)</f>
        <v>0</v>
      </c>
      <c r="E8" s="21">
        <f>MAX((E5+E6),0)</f>
        <v>61.652883491415814</v>
      </c>
      <c r="F8" s="21">
        <f>MAX((F5+F6),0)</f>
        <v>11348.860035577316</v>
      </c>
      <c r="G8" s="21"/>
      <c r="H8" s="21"/>
      <c r="I8" s="21"/>
      <c r="J8" s="21">
        <f>MAX((J5+J6),0)</f>
        <v>738.93200365500206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0.20445984990375898</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636.29440115756711</v>
      </c>
      <c r="C12" s="23">
        <f ca="1">C8*C10</f>
        <v>8182.5277310924375</v>
      </c>
      <c r="D12" s="23">
        <f>D8*D10</f>
        <v>0</v>
      </c>
      <c r="E12" s="23">
        <f>E8*E10</f>
        <v>13.995204552551391</v>
      </c>
      <c r="F12" s="23">
        <f>F8*F10</f>
        <v>3030.1456294991435</v>
      </c>
      <c r="G12" s="23"/>
      <c r="H12" s="23"/>
      <c r="I12" s="23"/>
      <c r="J12" s="23">
        <f>J8*J10</f>
        <v>261.5819292938707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0.43882319841796269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533.14638780164296</v>
      </c>
      <c r="C26" s="242">
        <f>B26*'GWP N2O_CH4'!B5</f>
        <v>11196.074143834503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373.33450578128856</v>
      </c>
      <c r="C27" s="242">
        <f>B27*'GWP N2O_CH4'!B5</f>
        <v>7840.0246214070594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8.9171531889460027</v>
      </c>
      <c r="C28" s="242">
        <f>B28*'GWP N2O_CH4'!B4</f>
        <v>2764.317488573261</v>
      </c>
      <c r="D28" s="50"/>
    </row>
    <row r="29" spans="1:4">
      <c r="A29" s="41" t="s">
        <v>266</v>
      </c>
      <c r="B29" s="242">
        <f>B34*'ha_N2O bodem landbouw'!B4</f>
        <v>20.05096891145298</v>
      </c>
      <c r="C29" s="242">
        <f>B29*'GWP N2O_CH4'!B4</f>
        <v>6215.8003625504234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4.5125576064234127E-3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5.0242489177070268E-5</v>
      </c>
      <c r="C5" s="427" t="s">
        <v>204</v>
      </c>
      <c r="D5" s="412">
        <f>SUM(D6:D11)</f>
        <v>8.9403399958186549E-5</v>
      </c>
      <c r="E5" s="412">
        <f>SUM(E6:E11)</f>
        <v>3.9962373239362014E-4</v>
      </c>
      <c r="F5" s="425" t="s">
        <v>204</v>
      </c>
      <c r="G5" s="412">
        <f>SUM(G6:G11)</f>
        <v>0.14240173335446685</v>
      </c>
      <c r="H5" s="412">
        <f>SUM(H6:H11)</f>
        <v>3.069645502645155E-2</v>
      </c>
      <c r="I5" s="427" t="s">
        <v>204</v>
      </c>
      <c r="J5" s="427" t="s">
        <v>204</v>
      </c>
      <c r="K5" s="427" t="s">
        <v>204</v>
      </c>
      <c r="L5" s="427" t="s">
        <v>204</v>
      </c>
      <c r="M5" s="412">
        <f>SUM(M6:M11)</f>
        <v>5.399929502396472E-3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3.1090189053302258E-5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4.8989726293917825E-5</v>
      </c>
      <c r="E6" s="818">
        <f>vkm_GW_PW*SUMIFS(TableVerdeelsleutelVkm[LPG],TableVerdeelsleutelVkm[Voertuigtype],"Lichte voertuigen")*SUMIFS(TableECFTransport[EnergieConsumptieFactor (PJ per km)],TableECFTransport[Index],CONCATENATE($A6,"_LPG_LPG"))</f>
        <v>2.2362656630431157E-4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6.0379608122259065E-2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1.7049420842314863E-2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2.4105216940166225E-3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8.840111168951979E-7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3.0470859643402123E-2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6.1904146282397975E-7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9.5861702656492261E-4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1.81048186523618E-5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4.0413673664268731E-5</v>
      </c>
      <c r="E8" s="415">
        <f>vkm_NGW_PW*SUMIFS(TableVerdeelsleutelVkm[LPG],TableVerdeelsleutelVkm[Voertuigtype],"Lichte voertuigen")*SUMIFS(TableECFTransport[EnergieConsumptieFactor (PJ per km)],TableECFTransport[Index],CONCATENATE($A8,"_LPG_LPG"))</f>
        <v>1.7599716608930854E-4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4.4306454558313148E-2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1.364627697149505E-2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1.8028683976854636E-3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1.6347035451101255E-7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7.2448110304925185E-3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1.381711788130559E-7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2.2792238412946381E-4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13.95624699363063</v>
      </c>
      <c r="C14" s="21"/>
      <c r="D14" s="21">
        <f t="shared" ref="D14:M14" si="0">((D5)*10^9/3600)+D12</f>
        <v>24.834277766162931</v>
      </c>
      <c r="E14" s="21">
        <f t="shared" si="0"/>
        <v>111.00659233156115</v>
      </c>
      <c r="F14" s="21"/>
      <c r="G14" s="21">
        <f t="shared" si="0"/>
        <v>39556.037042907461</v>
      </c>
      <c r="H14" s="21">
        <f t="shared" si="0"/>
        <v>8526.7930629032089</v>
      </c>
      <c r="I14" s="21"/>
      <c r="J14" s="21"/>
      <c r="K14" s="21"/>
      <c r="L14" s="21"/>
      <c r="M14" s="21">
        <f t="shared" si="0"/>
        <v>1499.9804173323532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0.20445984990375898</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2.8534921655375061</v>
      </c>
      <c r="C18" s="23"/>
      <c r="D18" s="23">
        <f t="shared" ref="D18:M18" si="1">D14*D16</f>
        <v>5.0165241087649122</v>
      </c>
      <c r="E18" s="23">
        <f t="shared" si="1"/>
        <v>25.198496459264383</v>
      </c>
      <c r="F18" s="23"/>
      <c r="G18" s="23">
        <f t="shared" si="1"/>
        <v>10561.461890456292</v>
      </c>
      <c r="H18" s="23">
        <f t="shared" si="1"/>
        <v>2123.1714726628989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2.2480243768881286E-5</v>
      </c>
      <c r="C50" s="311">
        <f t="shared" ref="C50:P50" si="2">SUM(C51:C52)</f>
        <v>0</v>
      </c>
      <c r="D50" s="311">
        <f t="shared" si="2"/>
        <v>0</v>
      </c>
      <c r="E50" s="311">
        <f t="shared" si="2"/>
        <v>0</v>
      </c>
      <c r="F50" s="311">
        <f t="shared" si="2"/>
        <v>0</v>
      </c>
      <c r="G50" s="311">
        <f t="shared" si="2"/>
        <v>4.0082750576495799E-3</v>
      </c>
      <c r="H50" s="311">
        <f t="shared" si="2"/>
        <v>0</v>
      </c>
      <c r="I50" s="311">
        <f t="shared" si="2"/>
        <v>0</v>
      </c>
      <c r="J50" s="311">
        <f t="shared" si="2"/>
        <v>0</v>
      </c>
      <c r="K50" s="311">
        <f t="shared" si="2"/>
        <v>0</v>
      </c>
      <c r="L50" s="311">
        <f t="shared" si="2"/>
        <v>0</v>
      </c>
      <c r="M50" s="311">
        <f t="shared" si="2"/>
        <v>1.2512281670112711E-4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2.2480243768881286E-5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4.0082750576495799E-3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1.2512281670112711E-4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6.2445121580225793</v>
      </c>
      <c r="C54" s="21">
        <f t="shared" ref="C54:P54" si="3">(C50)*10^9/3600</f>
        <v>0</v>
      </c>
      <c r="D54" s="21">
        <f t="shared" si="3"/>
        <v>0</v>
      </c>
      <c r="E54" s="21">
        <f t="shared" si="3"/>
        <v>0</v>
      </c>
      <c r="F54" s="21">
        <f t="shared" si="3"/>
        <v>0</v>
      </c>
      <c r="G54" s="21">
        <f t="shared" si="3"/>
        <v>1113.4097382359944</v>
      </c>
      <c r="H54" s="21">
        <f t="shared" si="3"/>
        <v>0</v>
      </c>
      <c r="I54" s="21">
        <f t="shared" si="3"/>
        <v>0</v>
      </c>
      <c r="J54" s="21">
        <f t="shared" si="3"/>
        <v>0</v>
      </c>
      <c r="K54" s="21">
        <f t="shared" si="3"/>
        <v>0</v>
      </c>
      <c r="L54" s="21">
        <f t="shared" si="3"/>
        <v>0</v>
      </c>
      <c r="M54" s="21">
        <f t="shared" si="3"/>
        <v>34.756337972535313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0.20445984990375898</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1.2767520185514947</v>
      </c>
      <c r="C58" s="23">
        <f t="shared" ref="C58:P58" ca="1" si="4">C54*C56</f>
        <v>0</v>
      </c>
      <c r="D58" s="23">
        <f t="shared" si="4"/>
        <v>0</v>
      </c>
      <c r="E58" s="23">
        <f t="shared" si="4"/>
        <v>0</v>
      </c>
      <c r="F58" s="23">
        <f t="shared" si="4"/>
        <v>0</v>
      </c>
      <c r="G58" s="23">
        <f t="shared" si="4"/>
        <v>297.28040010901054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5392.1200109030906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24102</v>
      </c>
      <c r="C8" s="534">
        <f>B48</f>
        <v>28355.294117647059</v>
      </c>
      <c r="D8" s="961"/>
      <c r="E8" s="961">
        <f>E48</f>
        <v>0</v>
      </c>
      <c r="F8" s="962"/>
      <c r="G8" s="535"/>
      <c r="H8" s="961">
        <f>I48</f>
        <v>0</v>
      </c>
      <c r="I8" s="961">
        <f>G48+F48</f>
        <v>0</v>
      </c>
      <c r="J8" s="961">
        <f>H48+D48+C48</f>
        <v>0</v>
      </c>
      <c r="K8" s="961"/>
      <c r="L8" s="961"/>
      <c r="M8" s="961"/>
      <c r="N8" s="536"/>
      <c r="O8" s="537">
        <f>C8*$C$12+D8*$D$12+E8*$E$12+F8*$F$12+G8*$G$12+H8*$H$12+I8*$I$12+J8*$J$12</f>
        <v>5727.7694117647061</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29494.120010903091</v>
      </c>
      <c r="C10" s="547">
        <f t="shared" ref="C10:L10" si="0">SUM(C8:C9)</f>
        <v>28355.294117647059</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5727.7694117647061</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34431.428571428572</v>
      </c>
      <c r="C17" s="559">
        <f>B49</f>
        <v>40507.563025210089</v>
      </c>
      <c r="D17" s="560"/>
      <c r="E17" s="560">
        <f>E49</f>
        <v>0</v>
      </c>
      <c r="F17" s="967"/>
      <c r="G17" s="561"/>
      <c r="H17" s="559">
        <f>I49</f>
        <v>0</v>
      </c>
      <c r="I17" s="560">
        <f>G49+F49</f>
        <v>0</v>
      </c>
      <c r="J17" s="560">
        <f>H49+D49+C49</f>
        <v>0</v>
      </c>
      <c r="K17" s="560"/>
      <c r="L17" s="560"/>
      <c r="M17" s="560"/>
      <c r="N17" s="968"/>
      <c r="O17" s="562">
        <f>C17*$C$22+E17*$E$22+H17*$H$22+I17*$I$22+J17*$J$22+D17*$D$22+F17*$F$22+G17*$G$22+K17*$K$22+L17*$L$22</f>
        <v>8182.5277310924384</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34431.428571428572</v>
      </c>
      <c r="C20" s="546">
        <f>SUM(C17:C19)</f>
        <v>40507.563025210089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8182.5277310924384</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35006</v>
      </c>
      <c r="C28" s="724">
        <v>8480</v>
      </c>
      <c r="D28" s="617"/>
      <c r="E28" s="616"/>
      <c r="F28" s="616"/>
      <c r="G28" s="616" t="s">
        <v>887</v>
      </c>
      <c r="H28" s="616" t="s">
        <v>888</v>
      </c>
      <c r="I28" s="616"/>
      <c r="J28" s="723"/>
      <c r="K28" s="723"/>
      <c r="L28" s="616" t="s">
        <v>889</v>
      </c>
      <c r="M28" s="616">
        <v>5356</v>
      </c>
      <c r="N28" s="616">
        <v>24102</v>
      </c>
      <c r="O28" s="616">
        <v>34431.428571428572</v>
      </c>
      <c r="P28" s="616">
        <v>68862.857142857145</v>
      </c>
      <c r="Q28" s="616">
        <v>0</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5356</v>
      </c>
      <c r="N29" s="574">
        <f>SUM(N28:N28)</f>
        <v>24102</v>
      </c>
      <c r="O29" s="574">
        <f>SUM(O28:O28)</f>
        <v>34431.428571428572</v>
      </c>
      <c r="P29" s="574">
        <f>SUM(P28:P28)</f>
        <v>68862.857142857145</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5356</v>
      </c>
      <c r="N32" s="579">
        <f>SUMIF($AA$28:$AA$28,"landbouw",N28:N28)</f>
        <v>24102</v>
      </c>
      <c r="O32" s="579">
        <f>SUMIF($AA$28:$AA$28,"landbouw",O28:O28)</f>
        <v>34431.428571428572</v>
      </c>
      <c r="P32" s="579">
        <f>SUMIF($AA$28:$AA$28,"landbouw",P28:P28)</f>
        <v>68862.857142857145</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28355.294117647059</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40507.563025210089</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10771.205991752</v>
      </c>
      <c r="D10" s="930">
        <f ca="1">tertiair!C16</f>
        <v>0</v>
      </c>
      <c r="E10" s="930">
        <f ca="1">tertiair!D16</f>
        <v>13273.794322882721</v>
      </c>
      <c r="F10" s="930">
        <f>tertiair!E16</f>
        <v>192.15532003082845</v>
      </c>
      <c r="G10" s="930">
        <f ca="1">tertiair!F16</f>
        <v>2353.3362617230869</v>
      </c>
      <c r="H10" s="930">
        <f>tertiair!G16</f>
        <v>0</v>
      </c>
      <c r="I10" s="930">
        <f>tertiair!H16</f>
        <v>0</v>
      </c>
      <c r="J10" s="930">
        <f>tertiair!I16</f>
        <v>0</v>
      </c>
      <c r="K10" s="930">
        <f>tertiair!J16</f>
        <v>2.0084898531478188E-2</v>
      </c>
      <c r="L10" s="930">
        <f>tertiair!K16</f>
        <v>0</v>
      </c>
      <c r="M10" s="930">
        <f ca="1">tertiair!L16</f>
        <v>0</v>
      </c>
      <c r="N10" s="930">
        <f>tertiair!M16</f>
        <v>0</v>
      </c>
      <c r="O10" s="930">
        <f ca="1">tertiair!N16</f>
        <v>710.63340821874544</v>
      </c>
      <c r="P10" s="930">
        <f>tertiair!O16</f>
        <v>4.6900000000000004</v>
      </c>
      <c r="Q10" s="931">
        <f>tertiair!P16</f>
        <v>38.133333333333333</v>
      </c>
      <c r="R10" s="628">
        <f ca="1">SUM(C10:Q10)</f>
        <v>27343.96872283925</v>
      </c>
      <c r="S10" s="67"/>
    </row>
    <row r="11" spans="1:19" s="437" customFormat="1">
      <c r="A11" s="736" t="s">
        <v>214</v>
      </c>
      <c r="B11" s="741"/>
      <c r="C11" s="930">
        <f>huishoudens!B8</f>
        <v>23632.577827968496</v>
      </c>
      <c r="D11" s="930">
        <f>huishoudens!C8</f>
        <v>0</v>
      </c>
      <c r="E11" s="930">
        <f>huishoudens!D8</f>
        <v>51478.206113826251</v>
      </c>
      <c r="F11" s="930">
        <f>huishoudens!E8</f>
        <v>1146.8527728220431</v>
      </c>
      <c r="G11" s="930">
        <f>huishoudens!F8</f>
        <v>31180.656845174388</v>
      </c>
      <c r="H11" s="930">
        <f>huishoudens!G8</f>
        <v>0</v>
      </c>
      <c r="I11" s="930">
        <f>huishoudens!H8</f>
        <v>0</v>
      </c>
      <c r="J11" s="930">
        <f>huishoudens!I8</f>
        <v>0</v>
      </c>
      <c r="K11" s="930">
        <f>huishoudens!J8</f>
        <v>575.02700476715927</v>
      </c>
      <c r="L11" s="930">
        <f>huishoudens!K8</f>
        <v>0</v>
      </c>
      <c r="M11" s="930">
        <f>huishoudens!L8</f>
        <v>0</v>
      </c>
      <c r="N11" s="930">
        <f>huishoudens!M8</f>
        <v>0</v>
      </c>
      <c r="O11" s="930">
        <f>huishoudens!N8</f>
        <v>7516.4103139454146</v>
      </c>
      <c r="P11" s="930">
        <f>huishoudens!O8</f>
        <v>282.96333333333337</v>
      </c>
      <c r="Q11" s="931">
        <f>huishoudens!P8</f>
        <v>362.26666666666665</v>
      </c>
      <c r="R11" s="628">
        <f>SUM(C11:Q11)</f>
        <v>116174.96087850374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9656.807013013</v>
      </c>
      <c r="D13" s="930">
        <f>industrie!C18</f>
        <v>0</v>
      </c>
      <c r="E13" s="930">
        <f>industrie!D18</f>
        <v>86580.388498436805</v>
      </c>
      <c r="F13" s="930">
        <f>industrie!E18</f>
        <v>828.86684258445007</v>
      </c>
      <c r="G13" s="930">
        <f>industrie!F18</f>
        <v>3202.0654197711183</v>
      </c>
      <c r="H13" s="930">
        <f>industrie!G18</f>
        <v>0</v>
      </c>
      <c r="I13" s="930">
        <f>industrie!H18</f>
        <v>0</v>
      </c>
      <c r="J13" s="930">
        <f>industrie!I18</f>
        <v>0</v>
      </c>
      <c r="K13" s="930">
        <f>industrie!J18</f>
        <v>55.61704694290583</v>
      </c>
      <c r="L13" s="930">
        <f>industrie!K18</f>
        <v>0</v>
      </c>
      <c r="M13" s="930">
        <f>industrie!L18</f>
        <v>0</v>
      </c>
      <c r="N13" s="930">
        <f>industrie!M18</f>
        <v>0</v>
      </c>
      <c r="O13" s="930">
        <f>industrie!N18</f>
        <v>920.87462952585929</v>
      </c>
      <c r="P13" s="930">
        <f>industrie!O18</f>
        <v>0</v>
      </c>
      <c r="Q13" s="931">
        <f>industrie!P18</f>
        <v>0</v>
      </c>
      <c r="R13" s="628">
        <f>SUM(C13:Q13)</f>
        <v>101244.61945027413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44060.590832733498</v>
      </c>
      <c r="D16" s="660">
        <f t="shared" ref="D16:R16" ca="1" si="0">SUM(D9:D15)</f>
        <v>0</v>
      </c>
      <c r="E16" s="660">
        <f t="shared" ca="1" si="0"/>
        <v>151332.38893514578</v>
      </c>
      <c r="F16" s="660">
        <f t="shared" si="0"/>
        <v>2167.8749354373217</v>
      </c>
      <c r="G16" s="660">
        <f t="shared" ca="1" si="0"/>
        <v>36736.058526668596</v>
      </c>
      <c r="H16" s="660">
        <f t="shared" si="0"/>
        <v>0</v>
      </c>
      <c r="I16" s="660">
        <f t="shared" si="0"/>
        <v>0</v>
      </c>
      <c r="J16" s="660">
        <f t="shared" si="0"/>
        <v>0</v>
      </c>
      <c r="K16" s="660">
        <f t="shared" si="0"/>
        <v>630.66413660859655</v>
      </c>
      <c r="L16" s="660">
        <f t="shared" si="0"/>
        <v>0</v>
      </c>
      <c r="M16" s="660">
        <f t="shared" ca="1" si="0"/>
        <v>0</v>
      </c>
      <c r="N16" s="660">
        <f t="shared" si="0"/>
        <v>0</v>
      </c>
      <c r="O16" s="660">
        <f t="shared" ca="1" si="0"/>
        <v>9147.9183516900193</v>
      </c>
      <c r="P16" s="660">
        <f t="shared" si="0"/>
        <v>287.65333333333336</v>
      </c>
      <c r="Q16" s="660">
        <f t="shared" si="0"/>
        <v>400.4</v>
      </c>
      <c r="R16" s="660">
        <f t="shared" ca="1" si="0"/>
        <v>244763.54905161713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6.2445121580225793</v>
      </c>
      <c r="D19" s="930">
        <f>transport!C54</f>
        <v>0</v>
      </c>
      <c r="E19" s="930">
        <f>transport!D54</f>
        <v>0</v>
      </c>
      <c r="F19" s="930">
        <f>transport!E54</f>
        <v>0</v>
      </c>
      <c r="G19" s="930">
        <f>transport!F54</f>
        <v>0</v>
      </c>
      <c r="H19" s="930">
        <f>transport!G54</f>
        <v>1113.4097382359944</v>
      </c>
      <c r="I19" s="930">
        <f>transport!H54</f>
        <v>0</v>
      </c>
      <c r="J19" s="930">
        <f>transport!I54</f>
        <v>0</v>
      </c>
      <c r="K19" s="930">
        <f>transport!J54</f>
        <v>0</v>
      </c>
      <c r="L19" s="930">
        <f>transport!K54</f>
        <v>0</v>
      </c>
      <c r="M19" s="930">
        <f>transport!L54</f>
        <v>0</v>
      </c>
      <c r="N19" s="930">
        <f>transport!M54</f>
        <v>34.756337972535313</v>
      </c>
      <c r="O19" s="930">
        <f>transport!N54</f>
        <v>0</v>
      </c>
      <c r="P19" s="930">
        <f>transport!O54</f>
        <v>0</v>
      </c>
      <c r="Q19" s="931">
        <f>transport!P54</f>
        <v>0</v>
      </c>
      <c r="R19" s="628">
        <f>SUM(C19:Q19)</f>
        <v>1154.4105883665522</v>
      </c>
      <c r="S19" s="67"/>
    </row>
    <row r="20" spans="1:19" s="437" customFormat="1">
      <c r="A20" s="736" t="s">
        <v>296</v>
      </c>
      <c r="B20" s="741"/>
      <c r="C20" s="930">
        <f>transport!B14</f>
        <v>13.95624699363063</v>
      </c>
      <c r="D20" s="930">
        <f>transport!C14</f>
        <v>0</v>
      </c>
      <c r="E20" s="930">
        <f>transport!D14</f>
        <v>24.834277766162931</v>
      </c>
      <c r="F20" s="930">
        <f>transport!E14</f>
        <v>111.00659233156115</v>
      </c>
      <c r="G20" s="930">
        <f>transport!F14</f>
        <v>0</v>
      </c>
      <c r="H20" s="930">
        <f>transport!G14</f>
        <v>39556.037042907461</v>
      </c>
      <c r="I20" s="930">
        <f>transport!H14</f>
        <v>8526.7930629032089</v>
      </c>
      <c r="J20" s="930">
        <f>transport!I14</f>
        <v>0</v>
      </c>
      <c r="K20" s="930">
        <f>transport!J14</f>
        <v>0</v>
      </c>
      <c r="L20" s="930">
        <f>transport!K14</f>
        <v>0</v>
      </c>
      <c r="M20" s="930">
        <f>transport!L14</f>
        <v>0</v>
      </c>
      <c r="N20" s="930">
        <f>transport!M14</f>
        <v>1499.9804173323532</v>
      </c>
      <c r="O20" s="930">
        <f>transport!N14</f>
        <v>0</v>
      </c>
      <c r="P20" s="930">
        <f>transport!O14</f>
        <v>0</v>
      </c>
      <c r="Q20" s="931">
        <f>transport!P14</f>
        <v>0</v>
      </c>
      <c r="R20" s="628">
        <f>SUM(C20:Q20)</f>
        <v>49732.607640234375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20.200759151653209</v>
      </c>
      <c r="D22" s="739">
        <f t="shared" ref="D22:R22" si="1">SUM(D18:D21)</f>
        <v>0</v>
      </c>
      <c r="E22" s="739">
        <f t="shared" si="1"/>
        <v>24.834277766162931</v>
      </c>
      <c r="F22" s="739">
        <f t="shared" si="1"/>
        <v>111.00659233156115</v>
      </c>
      <c r="G22" s="739">
        <f t="shared" si="1"/>
        <v>0</v>
      </c>
      <c r="H22" s="739">
        <f t="shared" si="1"/>
        <v>40669.446781143459</v>
      </c>
      <c r="I22" s="739">
        <f t="shared" si="1"/>
        <v>8526.7930629032089</v>
      </c>
      <c r="J22" s="739">
        <f t="shared" si="1"/>
        <v>0</v>
      </c>
      <c r="K22" s="739">
        <f t="shared" si="1"/>
        <v>0</v>
      </c>
      <c r="L22" s="739">
        <f t="shared" si="1"/>
        <v>0</v>
      </c>
      <c r="M22" s="739">
        <f t="shared" si="1"/>
        <v>0</v>
      </c>
      <c r="N22" s="739">
        <f t="shared" si="1"/>
        <v>1534.7367553048884</v>
      </c>
      <c r="O22" s="739">
        <f t="shared" si="1"/>
        <v>0</v>
      </c>
      <c r="P22" s="739">
        <f t="shared" si="1"/>
        <v>0</v>
      </c>
      <c r="Q22" s="739">
        <f t="shared" si="1"/>
        <v>0</v>
      </c>
      <c r="R22" s="739">
        <f t="shared" si="1"/>
        <v>50887.018228600929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3112.0750673400003</v>
      </c>
      <c r="D24" s="930">
        <f>+landbouw!C8</f>
        <v>34431.428571428572</v>
      </c>
      <c r="E24" s="930">
        <f>+landbouw!D8</f>
        <v>0</v>
      </c>
      <c r="F24" s="930">
        <f>+landbouw!E8</f>
        <v>61.652883491415814</v>
      </c>
      <c r="G24" s="930">
        <f>+landbouw!F8</f>
        <v>11348.860035577316</v>
      </c>
      <c r="H24" s="930">
        <f>+landbouw!G8</f>
        <v>0</v>
      </c>
      <c r="I24" s="930">
        <f>+landbouw!H8</f>
        <v>0</v>
      </c>
      <c r="J24" s="930">
        <f>+landbouw!I8</f>
        <v>0</v>
      </c>
      <c r="K24" s="930">
        <f>+landbouw!J8</f>
        <v>738.93200365500206</v>
      </c>
      <c r="L24" s="930">
        <f>+landbouw!K8</f>
        <v>0</v>
      </c>
      <c r="M24" s="930">
        <f>+landbouw!L8</f>
        <v>0</v>
      </c>
      <c r="N24" s="930">
        <f>+landbouw!M8</f>
        <v>0</v>
      </c>
      <c r="O24" s="930">
        <f>+landbouw!N8</f>
        <v>0</v>
      </c>
      <c r="P24" s="930">
        <f>+landbouw!O8</f>
        <v>0</v>
      </c>
      <c r="Q24" s="931">
        <f>+landbouw!P8</f>
        <v>0</v>
      </c>
      <c r="R24" s="628">
        <f>SUM(C24:Q24)</f>
        <v>49692.948561492311</v>
      </c>
      <c r="S24" s="67"/>
    </row>
    <row r="25" spans="1:19" s="437" customFormat="1" ht="15" thickBot="1">
      <c r="A25" s="758" t="s">
        <v>788</v>
      </c>
      <c r="B25" s="933"/>
      <c r="C25" s="934">
        <f>IF(Onbekend_ele_kWh="---",0,Onbekend_ele_kWh)/1000+IF(REST_rest_ele_kWh="---",0,REST_rest_ele_kWh)/1000</f>
        <v>595.76319272000001</v>
      </c>
      <c r="D25" s="934"/>
      <c r="E25" s="934">
        <f>IF(onbekend_gas_kWh="---",0,onbekend_gas_kWh)/1000+IF(REST_rest_gas_kWh="---",0,REST_rest_gas_kWh)/1000</f>
        <v>1726.0148282</v>
      </c>
      <c r="F25" s="934"/>
      <c r="G25" s="934"/>
      <c r="H25" s="934"/>
      <c r="I25" s="934"/>
      <c r="J25" s="934"/>
      <c r="K25" s="934"/>
      <c r="L25" s="934"/>
      <c r="M25" s="934"/>
      <c r="N25" s="934"/>
      <c r="O25" s="934"/>
      <c r="P25" s="934"/>
      <c r="Q25" s="935"/>
      <c r="R25" s="628">
        <f>SUM(C25:Q25)</f>
        <v>2321.77802092</v>
      </c>
      <c r="S25" s="67"/>
    </row>
    <row r="26" spans="1:19" s="437" customFormat="1" ht="15.75" thickBot="1">
      <c r="A26" s="633" t="s">
        <v>789</v>
      </c>
      <c r="B26" s="744"/>
      <c r="C26" s="739">
        <f>SUM(C24:C25)</f>
        <v>3707.8382600600003</v>
      </c>
      <c r="D26" s="739">
        <f t="shared" ref="D26:R26" si="2">SUM(D24:D25)</f>
        <v>34431.428571428572</v>
      </c>
      <c r="E26" s="739">
        <f t="shared" si="2"/>
        <v>1726.0148282</v>
      </c>
      <c r="F26" s="739">
        <f t="shared" si="2"/>
        <v>61.652883491415814</v>
      </c>
      <c r="G26" s="739">
        <f t="shared" si="2"/>
        <v>11348.860035577316</v>
      </c>
      <c r="H26" s="739">
        <f t="shared" si="2"/>
        <v>0</v>
      </c>
      <c r="I26" s="739">
        <f t="shared" si="2"/>
        <v>0</v>
      </c>
      <c r="J26" s="739">
        <f t="shared" si="2"/>
        <v>0</v>
      </c>
      <c r="K26" s="739">
        <f t="shared" si="2"/>
        <v>738.93200365500206</v>
      </c>
      <c r="L26" s="739">
        <f t="shared" si="2"/>
        <v>0</v>
      </c>
      <c r="M26" s="739">
        <f t="shared" si="2"/>
        <v>0</v>
      </c>
      <c r="N26" s="739">
        <f t="shared" si="2"/>
        <v>0</v>
      </c>
      <c r="O26" s="739">
        <f t="shared" si="2"/>
        <v>0</v>
      </c>
      <c r="P26" s="739">
        <f t="shared" si="2"/>
        <v>0</v>
      </c>
      <c r="Q26" s="739">
        <f t="shared" si="2"/>
        <v>0</v>
      </c>
      <c r="R26" s="739">
        <f t="shared" si="2"/>
        <v>52014.72658241231</v>
      </c>
      <c r="S26" s="67"/>
    </row>
    <row r="27" spans="1:19" s="437" customFormat="1" ht="17.25" thickTop="1" thickBot="1">
      <c r="A27" s="634" t="s">
        <v>109</v>
      </c>
      <c r="B27" s="732"/>
      <c r="C27" s="635">
        <f ca="1">C22+C16+C26</f>
        <v>47788.629851945152</v>
      </c>
      <c r="D27" s="635">
        <f t="shared" ref="D27:R27" ca="1" si="3">D22+D16+D26</f>
        <v>34431.428571428572</v>
      </c>
      <c r="E27" s="635">
        <f t="shared" ca="1" si="3"/>
        <v>153083.23804111194</v>
      </c>
      <c r="F27" s="635">
        <f t="shared" si="3"/>
        <v>2340.5344112602984</v>
      </c>
      <c r="G27" s="635">
        <f t="shared" ca="1" si="3"/>
        <v>48084.918562245912</v>
      </c>
      <c r="H27" s="635">
        <f t="shared" si="3"/>
        <v>40669.446781143459</v>
      </c>
      <c r="I27" s="635">
        <f t="shared" si="3"/>
        <v>8526.7930629032089</v>
      </c>
      <c r="J27" s="635">
        <f t="shared" si="3"/>
        <v>0</v>
      </c>
      <c r="K27" s="635">
        <f t="shared" si="3"/>
        <v>1369.5961402635985</v>
      </c>
      <c r="L27" s="635">
        <f t="shared" si="3"/>
        <v>0</v>
      </c>
      <c r="M27" s="635">
        <f t="shared" ca="1" si="3"/>
        <v>0</v>
      </c>
      <c r="N27" s="635">
        <f t="shared" si="3"/>
        <v>1534.7367553048884</v>
      </c>
      <c r="O27" s="635">
        <f t="shared" ca="1" si="3"/>
        <v>9147.9183516900193</v>
      </c>
      <c r="P27" s="635">
        <f t="shared" si="3"/>
        <v>287.65333333333336</v>
      </c>
      <c r="Q27" s="635">
        <f t="shared" si="3"/>
        <v>400.4</v>
      </c>
      <c r="R27" s="635">
        <f t="shared" ca="1" si="3"/>
        <v>347665.29386263038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2202.2791603560836</v>
      </c>
      <c r="D40" s="930">
        <f ca="1">tertiair!C20</f>
        <v>0</v>
      </c>
      <c r="E40" s="930">
        <f ca="1">tertiair!D20</f>
        <v>2681.3064532223098</v>
      </c>
      <c r="F40" s="930">
        <f>tertiair!E20</f>
        <v>43.619257646998058</v>
      </c>
      <c r="G40" s="930">
        <f ca="1">tertiair!F20</f>
        <v>628.34078188006424</v>
      </c>
      <c r="H40" s="930">
        <f>tertiair!G20</f>
        <v>0</v>
      </c>
      <c r="I40" s="930">
        <f>tertiair!H20</f>
        <v>0</v>
      </c>
      <c r="J40" s="930">
        <f>tertiair!I20</f>
        <v>0</v>
      </c>
      <c r="K40" s="930">
        <f>tertiair!J20</f>
        <v>7.1100540801432785E-3</v>
      </c>
      <c r="L40" s="930">
        <f>tertiair!K20</f>
        <v>0</v>
      </c>
      <c r="M40" s="930">
        <f ca="1">tertiair!L20</f>
        <v>0</v>
      </c>
      <c r="N40" s="930">
        <f>tertiair!M20</f>
        <v>0</v>
      </c>
      <c r="O40" s="930">
        <f ca="1">tertiair!N20</f>
        <v>0</v>
      </c>
      <c r="P40" s="930">
        <f>tertiair!O20</f>
        <v>0</v>
      </c>
      <c r="Q40" s="702">
        <f>tertiair!P20</f>
        <v>0</v>
      </c>
      <c r="R40" s="777">
        <f t="shared" ca="1" si="4"/>
        <v>5555.552763159536</v>
      </c>
    </row>
    <row r="41" spans="1:18">
      <c r="A41" s="749" t="s">
        <v>214</v>
      </c>
      <c r="B41" s="756"/>
      <c r="C41" s="930">
        <f ca="1">huishoudens!B12</f>
        <v>4831.913315545341</v>
      </c>
      <c r="D41" s="930">
        <f ca="1">huishoudens!C12</f>
        <v>0</v>
      </c>
      <c r="E41" s="930">
        <f>huishoudens!D12</f>
        <v>10398.597634992904</v>
      </c>
      <c r="F41" s="930">
        <f>huishoudens!E12</f>
        <v>260.33557943060379</v>
      </c>
      <c r="G41" s="930">
        <f>huishoudens!F12</f>
        <v>8325.2353776615619</v>
      </c>
      <c r="H41" s="930">
        <f>huishoudens!G12</f>
        <v>0</v>
      </c>
      <c r="I41" s="930">
        <f>huishoudens!H12</f>
        <v>0</v>
      </c>
      <c r="J41" s="930">
        <f>huishoudens!I12</f>
        <v>0</v>
      </c>
      <c r="K41" s="930">
        <f>huishoudens!J12</f>
        <v>203.55955968757436</v>
      </c>
      <c r="L41" s="930">
        <f>huishoudens!K12</f>
        <v>0</v>
      </c>
      <c r="M41" s="930">
        <f>huishoudens!L12</f>
        <v>0</v>
      </c>
      <c r="N41" s="930">
        <f>huishoudens!M12</f>
        <v>0</v>
      </c>
      <c r="O41" s="930">
        <f>huishoudens!N12</f>
        <v>0</v>
      </c>
      <c r="P41" s="930">
        <f>huishoudens!O12</f>
        <v>0</v>
      </c>
      <c r="Q41" s="702">
        <f>huishoudens!P12</f>
        <v>0</v>
      </c>
      <c r="R41" s="777">
        <f t="shared" ca="1" si="4"/>
        <v>24019.641467317986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1974.4293124302051</v>
      </c>
      <c r="D43" s="930">
        <f ca="1">industrie!C22</f>
        <v>0</v>
      </c>
      <c r="E43" s="930">
        <f>industrie!D22</f>
        <v>17489.238476684237</v>
      </c>
      <c r="F43" s="930">
        <f>industrie!E22</f>
        <v>188.15277326667018</v>
      </c>
      <c r="G43" s="930">
        <f>industrie!F22</f>
        <v>854.95146707888864</v>
      </c>
      <c r="H43" s="930">
        <f>industrie!G22</f>
        <v>0</v>
      </c>
      <c r="I43" s="930">
        <f>industrie!H22</f>
        <v>0</v>
      </c>
      <c r="J43" s="930">
        <f>industrie!I22</f>
        <v>0</v>
      </c>
      <c r="K43" s="930">
        <f>industrie!J22</f>
        <v>19.688434617788662</v>
      </c>
      <c r="L43" s="930">
        <f>industrie!K22</f>
        <v>0</v>
      </c>
      <c r="M43" s="930">
        <f>industrie!L22</f>
        <v>0</v>
      </c>
      <c r="N43" s="930">
        <f>industrie!M22</f>
        <v>0</v>
      </c>
      <c r="O43" s="930">
        <f>industrie!N22</f>
        <v>0</v>
      </c>
      <c r="P43" s="930">
        <f>industrie!O22</f>
        <v>0</v>
      </c>
      <c r="Q43" s="702">
        <f>industrie!P22</f>
        <v>0</v>
      </c>
      <c r="R43" s="776">
        <f t="shared" ca="1" si="4"/>
        <v>20526.460464077791</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9008.6217883316294</v>
      </c>
      <c r="D46" s="660">
        <f t="shared" ref="D46:Q46" ca="1" si="5">SUM(D39:D45)</f>
        <v>0</v>
      </c>
      <c r="E46" s="660">
        <f t="shared" ca="1" si="5"/>
        <v>30569.142564899452</v>
      </c>
      <c r="F46" s="660">
        <f t="shared" si="5"/>
        <v>492.10761034427202</v>
      </c>
      <c r="G46" s="660">
        <f t="shared" ca="1" si="5"/>
        <v>9808.5276266205146</v>
      </c>
      <c r="H46" s="660">
        <f t="shared" si="5"/>
        <v>0</v>
      </c>
      <c r="I46" s="660">
        <f t="shared" si="5"/>
        <v>0</v>
      </c>
      <c r="J46" s="660">
        <f t="shared" si="5"/>
        <v>0</v>
      </c>
      <c r="K46" s="660">
        <f t="shared" si="5"/>
        <v>223.25510435944315</v>
      </c>
      <c r="L46" s="660">
        <f t="shared" si="5"/>
        <v>0</v>
      </c>
      <c r="M46" s="660">
        <f t="shared" ca="1" si="5"/>
        <v>0</v>
      </c>
      <c r="N46" s="660">
        <f t="shared" si="5"/>
        <v>0</v>
      </c>
      <c r="O46" s="660">
        <f t="shared" ca="1" si="5"/>
        <v>0</v>
      </c>
      <c r="P46" s="660">
        <f t="shared" si="5"/>
        <v>0</v>
      </c>
      <c r="Q46" s="660">
        <f t="shared" si="5"/>
        <v>0</v>
      </c>
      <c r="R46" s="660">
        <f ca="1">SUM(R39:R45)</f>
        <v>50101.654694555313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1.2767520185514947</v>
      </c>
      <c r="D49" s="930">
        <f ca="1">transport!C58</f>
        <v>0</v>
      </c>
      <c r="E49" s="930">
        <f>transport!D58</f>
        <v>0</v>
      </c>
      <c r="F49" s="930">
        <f>transport!E58</f>
        <v>0</v>
      </c>
      <c r="G49" s="930">
        <f>transport!F58</f>
        <v>0</v>
      </c>
      <c r="H49" s="930">
        <f>transport!G58</f>
        <v>297.28040010901054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298.55715212756206</v>
      </c>
    </row>
    <row r="50" spans="1:18">
      <c r="A50" s="752" t="s">
        <v>296</v>
      </c>
      <c r="B50" s="762"/>
      <c r="C50" s="631">
        <f ca="1">transport!B18</f>
        <v>2.8534921655375061</v>
      </c>
      <c r="D50" s="631">
        <f>transport!C18</f>
        <v>0</v>
      </c>
      <c r="E50" s="631">
        <f>transport!D18</f>
        <v>5.0165241087649122</v>
      </c>
      <c r="F50" s="631">
        <f>transport!E18</f>
        <v>25.198496459264383</v>
      </c>
      <c r="G50" s="631">
        <f>transport!F18</f>
        <v>0</v>
      </c>
      <c r="H50" s="631">
        <f>transport!G18</f>
        <v>10561.461890456292</v>
      </c>
      <c r="I50" s="631">
        <f>transport!H18</f>
        <v>2123.1714726628989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12717.701875852759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4.1302441840890012</v>
      </c>
      <c r="D52" s="660">
        <f t="shared" ref="D52:Q52" ca="1" si="6">SUM(D48:D51)</f>
        <v>0</v>
      </c>
      <c r="E52" s="660">
        <f t="shared" si="6"/>
        <v>5.0165241087649122</v>
      </c>
      <c r="F52" s="660">
        <f t="shared" si="6"/>
        <v>25.198496459264383</v>
      </c>
      <c r="G52" s="660">
        <f t="shared" si="6"/>
        <v>0</v>
      </c>
      <c r="H52" s="660">
        <f t="shared" si="6"/>
        <v>10858.742290565302</v>
      </c>
      <c r="I52" s="660">
        <f t="shared" si="6"/>
        <v>2123.1714726628989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13016.259027980321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636.29440115756711</v>
      </c>
      <c r="D54" s="631">
        <f ca="1">+landbouw!C12</f>
        <v>8182.5277310924375</v>
      </c>
      <c r="E54" s="631">
        <f>+landbouw!D12</f>
        <v>0</v>
      </c>
      <c r="F54" s="631">
        <f>+landbouw!E12</f>
        <v>13.995204552551391</v>
      </c>
      <c r="G54" s="631">
        <f>+landbouw!F12</f>
        <v>3030.1456294991435</v>
      </c>
      <c r="H54" s="631">
        <f>+landbouw!G12</f>
        <v>0</v>
      </c>
      <c r="I54" s="631">
        <f>+landbouw!H12</f>
        <v>0</v>
      </c>
      <c r="J54" s="631">
        <f>+landbouw!I12</f>
        <v>0</v>
      </c>
      <c r="K54" s="631">
        <f>+landbouw!J12</f>
        <v>261.5819292938707</v>
      </c>
      <c r="L54" s="631">
        <f>+landbouw!K12</f>
        <v>0</v>
      </c>
      <c r="M54" s="631">
        <f>+landbouw!L12</f>
        <v>0</v>
      </c>
      <c r="N54" s="631">
        <f>+landbouw!M12</f>
        <v>0</v>
      </c>
      <c r="O54" s="631">
        <f>+landbouw!N12</f>
        <v>0</v>
      </c>
      <c r="P54" s="631">
        <f>+landbouw!O12</f>
        <v>0</v>
      </c>
      <c r="Q54" s="632">
        <f>+landbouw!P12</f>
        <v>0</v>
      </c>
      <c r="R54" s="659">
        <f ca="1">SUM(C54:Q54)</f>
        <v>12124.544895595571</v>
      </c>
    </row>
    <row r="55" spans="1:18" ht="15" thickBot="1">
      <c r="A55" s="752" t="s">
        <v>788</v>
      </c>
      <c r="B55" s="762"/>
      <c r="C55" s="631">
        <f ca="1">C25*'EF ele_warmte'!B12</f>
        <v>121.80965296171544</v>
      </c>
      <c r="D55" s="631"/>
      <c r="E55" s="631">
        <f>E25*EF_CO2_aardgas</f>
        <v>348.65499529640005</v>
      </c>
      <c r="F55" s="631"/>
      <c r="G55" s="631"/>
      <c r="H55" s="631"/>
      <c r="I55" s="631"/>
      <c r="J55" s="631"/>
      <c r="K55" s="631"/>
      <c r="L55" s="631"/>
      <c r="M55" s="631"/>
      <c r="N55" s="631"/>
      <c r="O55" s="631"/>
      <c r="P55" s="631"/>
      <c r="Q55" s="632"/>
      <c r="R55" s="659">
        <f ca="1">SUM(C55:Q55)</f>
        <v>470.46464825811552</v>
      </c>
    </row>
    <row r="56" spans="1:18" ht="15.75" thickBot="1">
      <c r="A56" s="750" t="s">
        <v>789</v>
      </c>
      <c r="B56" s="763"/>
      <c r="C56" s="660">
        <f ca="1">SUM(C54:C55)</f>
        <v>758.10405411928252</v>
      </c>
      <c r="D56" s="660">
        <f t="shared" ref="D56:Q56" ca="1" si="7">SUM(D54:D55)</f>
        <v>8182.5277310924375</v>
      </c>
      <c r="E56" s="660">
        <f t="shared" si="7"/>
        <v>348.65499529640005</v>
      </c>
      <c r="F56" s="660">
        <f t="shared" si="7"/>
        <v>13.995204552551391</v>
      </c>
      <c r="G56" s="660">
        <f t="shared" si="7"/>
        <v>3030.1456294991435</v>
      </c>
      <c r="H56" s="660">
        <f t="shared" si="7"/>
        <v>0</v>
      </c>
      <c r="I56" s="660">
        <f t="shared" si="7"/>
        <v>0</v>
      </c>
      <c r="J56" s="660">
        <f t="shared" si="7"/>
        <v>0</v>
      </c>
      <c r="K56" s="660">
        <f t="shared" si="7"/>
        <v>261.5819292938707</v>
      </c>
      <c r="L56" s="660">
        <f t="shared" si="7"/>
        <v>0</v>
      </c>
      <c r="M56" s="660">
        <f t="shared" si="7"/>
        <v>0</v>
      </c>
      <c r="N56" s="660">
        <f t="shared" si="7"/>
        <v>0</v>
      </c>
      <c r="O56" s="660">
        <f t="shared" si="7"/>
        <v>0</v>
      </c>
      <c r="P56" s="660">
        <f t="shared" si="7"/>
        <v>0</v>
      </c>
      <c r="Q56" s="661">
        <f t="shared" si="7"/>
        <v>0</v>
      </c>
      <c r="R56" s="662">
        <f ca="1">SUM(R54:R55)</f>
        <v>12595.009543853686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9770.8560866350017</v>
      </c>
      <c r="D61" s="668">
        <f t="shared" ref="D61:Q61" ca="1" si="8">D46+D52+D56</f>
        <v>8182.5277310924375</v>
      </c>
      <c r="E61" s="668">
        <f t="shared" ca="1" si="8"/>
        <v>30922.814084304617</v>
      </c>
      <c r="F61" s="668">
        <f t="shared" si="8"/>
        <v>531.30131135608781</v>
      </c>
      <c r="G61" s="668">
        <f t="shared" ca="1" si="8"/>
        <v>12838.673256119659</v>
      </c>
      <c r="H61" s="668">
        <f t="shared" si="8"/>
        <v>10858.742290565302</v>
      </c>
      <c r="I61" s="668">
        <f t="shared" si="8"/>
        <v>2123.1714726628989</v>
      </c>
      <c r="J61" s="668">
        <f t="shared" si="8"/>
        <v>0</v>
      </c>
      <c r="K61" s="668">
        <f t="shared" si="8"/>
        <v>484.83703365331382</v>
      </c>
      <c r="L61" s="668">
        <f t="shared" si="8"/>
        <v>0</v>
      </c>
      <c r="M61" s="668">
        <f t="shared" ca="1" si="8"/>
        <v>0</v>
      </c>
      <c r="N61" s="668">
        <f t="shared" si="8"/>
        <v>0</v>
      </c>
      <c r="O61" s="668">
        <f t="shared" ca="1" si="8"/>
        <v>0</v>
      </c>
      <c r="P61" s="668">
        <f t="shared" si="8"/>
        <v>0</v>
      </c>
      <c r="Q61" s="668">
        <f t="shared" si="8"/>
        <v>0</v>
      </c>
      <c r="R61" s="668">
        <f ca="1">R46+R52+R56</f>
        <v>75712.92326638932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0.20445984990375898</v>
      </c>
      <c r="D63" s="709">
        <f t="shared" ca="1" si="9"/>
        <v>0.23764705882352943</v>
      </c>
      <c r="E63" s="941">
        <f t="shared" ca="1" si="9"/>
        <v>0.20200000000000004</v>
      </c>
      <c r="F63" s="709">
        <f t="shared" si="9"/>
        <v>0.22700000000000004</v>
      </c>
      <c r="G63" s="709">
        <f t="shared" ca="1" si="9"/>
        <v>0.26700000000000002</v>
      </c>
      <c r="H63" s="709">
        <f t="shared" si="9"/>
        <v>0.26699999999999996</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5392.1200109030906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24102</v>
      </c>
      <c r="D76" s="951">
        <f>'lokale energieproductie'!C8</f>
        <v>28355.294117647059</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5727.7694117647061</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5392.1200109030906</v>
      </c>
      <c r="C78" s="683">
        <f>SUM(C72:C77)</f>
        <v>24102</v>
      </c>
      <c r="D78" s="684">
        <f t="shared" ref="D78:H78" si="10">SUM(D76:D77)</f>
        <v>28355.294117647059</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5727.7694117647061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34431.428571428572</v>
      </c>
      <c r="D87" s="705">
        <f>'lokale energieproductie'!C17</f>
        <v>40507.563025210089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8182.5277310924384</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34431.428571428572</v>
      </c>
      <c r="D90" s="683">
        <f t="shared" ref="D90:H90" si="12">SUM(D87:D89)</f>
        <v>40507.563025210089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8182.5277310924384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23632.577827968496</v>
      </c>
      <c r="C4" s="441">
        <f>huishoudens!C8</f>
        <v>0</v>
      </c>
      <c r="D4" s="441">
        <f>huishoudens!D8</f>
        <v>51478.206113826251</v>
      </c>
      <c r="E4" s="441">
        <f>huishoudens!E8</f>
        <v>1146.8527728220431</v>
      </c>
      <c r="F4" s="441">
        <f>huishoudens!F8</f>
        <v>31180.656845174388</v>
      </c>
      <c r="G4" s="441">
        <f>huishoudens!G8</f>
        <v>0</v>
      </c>
      <c r="H4" s="441">
        <f>huishoudens!H8</f>
        <v>0</v>
      </c>
      <c r="I4" s="441">
        <f>huishoudens!I8</f>
        <v>0</v>
      </c>
      <c r="J4" s="441">
        <f>huishoudens!J8</f>
        <v>575.02700476715927</v>
      </c>
      <c r="K4" s="441">
        <f>huishoudens!K8</f>
        <v>0</v>
      </c>
      <c r="L4" s="441">
        <f>huishoudens!L8</f>
        <v>0</v>
      </c>
      <c r="M4" s="441">
        <f>huishoudens!M8</f>
        <v>0</v>
      </c>
      <c r="N4" s="441">
        <f>huishoudens!N8</f>
        <v>7516.4103139454146</v>
      </c>
      <c r="O4" s="441">
        <f>huishoudens!O8</f>
        <v>282.96333333333337</v>
      </c>
      <c r="P4" s="442">
        <f>huishoudens!P8</f>
        <v>362.26666666666665</v>
      </c>
      <c r="Q4" s="443">
        <f>SUM(B4:P4)</f>
        <v>116174.96087850374</v>
      </c>
    </row>
    <row r="5" spans="1:17">
      <c r="A5" s="440" t="s">
        <v>149</v>
      </c>
      <c r="B5" s="441">
        <f ca="1">tertiair!B16</f>
        <v>9863.6429917519999</v>
      </c>
      <c r="C5" s="441">
        <f ca="1">tertiair!C16</f>
        <v>0</v>
      </c>
      <c r="D5" s="441">
        <f ca="1">tertiair!D16</f>
        <v>13273.794322882721</v>
      </c>
      <c r="E5" s="441">
        <f>tertiair!E16</f>
        <v>192.15532003082845</v>
      </c>
      <c r="F5" s="441">
        <f ca="1">tertiair!F16</f>
        <v>2353.3362617230869</v>
      </c>
      <c r="G5" s="441">
        <f>tertiair!G16</f>
        <v>0</v>
      </c>
      <c r="H5" s="441">
        <f>tertiair!H16</f>
        <v>0</v>
      </c>
      <c r="I5" s="441">
        <f>tertiair!I16</f>
        <v>0</v>
      </c>
      <c r="J5" s="441">
        <f>tertiair!J16</f>
        <v>2.0084898531478188E-2</v>
      </c>
      <c r="K5" s="441">
        <f>tertiair!K16</f>
        <v>0</v>
      </c>
      <c r="L5" s="441">
        <f ca="1">tertiair!L16</f>
        <v>0</v>
      </c>
      <c r="M5" s="441">
        <f>tertiair!M16</f>
        <v>0</v>
      </c>
      <c r="N5" s="441">
        <f ca="1">tertiair!N16</f>
        <v>710.63340821874544</v>
      </c>
      <c r="O5" s="441">
        <f>tertiair!O16</f>
        <v>4.6900000000000004</v>
      </c>
      <c r="P5" s="442">
        <f>tertiair!P16</f>
        <v>38.133333333333333</v>
      </c>
      <c r="Q5" s="440">
        <f t="shared" ref="Q5:Q14" ca="1" si="0">SUM(B5:P5)</f>
        <v>26436.405722839248</v>
      </c>
    </row>
    <row r="6" spans="1:17">
      <c r="A6" s="440" t="s">
        <v>187</v>
      </c>
      <c r="B6" s="441">
        <f>'openbare verlichting'!B8</f>
        <v>907.56299999999999</v>
      </c>
      <c r="C6" s="441"/>
      <c r="D6" s="441"/>
      <c r="E6" s="441"/>
      <c r="F6" s="441"/>
      <c r="G6" s="441"/>
      <c r="H6" s="441"/>
      <c r="I6" s="441"/>
      <c r="J6" s="441"/>
      <c r="K6" s="441"/>
      <c r="L6" s="441"/>
      <c r="M6" s="441"/>
      <c r="N6" s="441"/>
      <c r="O6" s="441"/>
      <c r="P6" s="442"/>
      <c r="Q6" s="440">
        <f t="shared" si="0"/>
        <v>907.56299999999999</v>
      </c>
    </row>
    <row r="7" spans="1:17">
      <c r="A7" s="440" t="s">
        <v>105</v>
      </c>
      <c r="B7" s="441">
        <f>landbouw!B8</f>
        <v>3112.0750673400003</v>
      </c>
      <c r="C7" s="441">
        <f>landbouw!C8</f>
        <v>34431.428571428572</v>
      </c>
      <c r="D7" s="441">
        <f>landbouw!D8</f>
        <v>0</v>
      </c>
      <c r="E7" s="441">
        <f>landbouw!E8</f>
        <v>61.652883491415814</v>
      </c>
      <c r="F7" s="441">
        <f>landbouw!F8</f>
        <v>11348.860035577316</v>
      </c>
      <c r="G7" s="441">
        <f>landbouw!G8</f>
        <v>0</v>
      </c>
      <c r="H7" s="441">
        <f>landbouw!H8</f>
        <v>0</v>
      </c>
      <c r="I7" s="441">
        <f>landbouw!I8</f>
        <v>0</v>
      </c>
      <c r="J7" s="441">
        <f>landbouw!J8</f>
        <v>738.93200365500206</v>
      </c>
      <c r="K7" s="441">
        <f>landbouw!K8</f>
        <v>0</v>
      </c>
      <c r="L7" s="441">
        <f>landbouw!L8</f>
        <v>0</v>
      </c>
      <c r="M7" s="441">
        <f>landbouw!M8</f>
        <v>0</v>
      </c>
      <c r="N7" s="441">
        <f>landbouw!N8</f>
        <v>0</v>
      </c>
      <c r="O7" s="441">
        <f>landbouw!O8</f>
        <v>0</v>
      </c>
      <c r="P7" s="442">
        <f>landbouw!P8</f>
        <v>0</v>
      </c>
      <c r="Q7" s="440">
        <f t="shared" si="0"/>
        <v>49692.948561492311</v>
      </c>
    </row>
    <row r="8" spans="1:17">
      <c r="A8" s="440" t="s">
        <v>600</v>
      </c>
      <c r="B8" s="441">
        <f>industrie!B18</f>
        <v>9656.807013013</v>
      </c>
      <c r="C8" s="441">
        <f>industrie!C18</f>
        <v>0</v>
      </c>
      <c r="D8" s="441">
        <f>industrie!D18</f>
        <v>86580.388498436805</v>
      </c>
      <c r="E8" s="441">
        <f>industrie!E18</f>
        <v>828.86684258445007</v>
      </c>
      <c r="F8" s="441">
        <f>industrie!F18</f>
        <v>3202.0654197711183</v>
      </c>
      <c r="G8" s="441">
        <f>industrie!G18</f>
        <v>0</v>
      </c>
      <c r="H8" s="441">
        <f>industrie!H18</f>
        <v>0</v>
      </c>
      <c r="I8" s="441">
        <f>industrie!I18</f>
        <v>0</v>
      </c>
      <c r="J8" s="441">
        <f>industrie!J18</f>
        <v>55.61704694290583</v>
      </c>
      <c r="K8" s="441">
        <f>industrie!K18</f>
        <v>0</v>
      </c>
      <c r="L8" s="441">
        <f>industrie!L18</f>
        <v>0</v>
      </c>
      <c r="M8" s="441">
        <f>industrie!M18</f>
        <v>0</v>
      </c>
      <c r="N8" s="441">
        <f>industrie!N18</f>
        <v>920.87462952585929</v>
      </c>
      <c r="O8" s="441">
        <f>industrie!O18</f>
        <v>0</v>
      </c>
      <c r="P8" s="442">
        <f>industrie!P18</f>
        <v>0</v>
      </c>
      <c r="Q8" s="440">
        <f t="shared" si="0"/>
        <v>101244.61945027413</v>
      </c>
    </row>
    <row r="9" spans="1:17" s="446" customFormat="1">
      <c r="A9" s="444" t="s">
        <v>549</v>
      </c>
      <c r="B9" s="445">
        <f>transport!B14</f>
        <v>13.95624699363063</v>
      </c>
      <c r="C9" s="445">
        <f>transport!C14</f>
        <v>0</v>
      </c>
      <c r="D9" s="445">
        <f>transport!D14</f>
        <v>24.834277766162931</v>
      </c>
      <c r="E9" s="445">
        <f>transport!E14</f>
        <v>111.00659233156115</v>
      </c>
      <c r="F9" s="445">
        <f>transport!F14</f>
        <v>0</v>
      </c>
      <c r="G9" s="445">
        <f>transport!G14</f>
        <v>39556.037042907461</v>
      </c>
      <c r="H9" s="445">
        <f>transport!H14</f>
        <v>8526.7930629032089</v>
      </c>
      <c r="I9" s="445">
        <f>transport!I14</f>
        <v>0</v>
      </c>
      <c r="J9" s="445">
        <f>transport!J14</f>
        <v>0</v>
      </c>
      <c r="K9" s="445">
        <f>transport!K14</f>
        <v>0</v>
      </c>
      <c r="L9" s="445">
        <f>transport!L14</f>
        <v>0</v>
      </c>
      <c r="M9" s="445">
        <f>transport!M14</f>
        <v>1499.9804173323532</v>
      </c>
      <c r="N9" s="445">
        <f>transport!N14</f>
        <v>0</v>
      </c>
      <c r="O9" s="445">
        <f>transport!O14</f>
        <v>0</v>
      </c>
      <c r="P9" s="445">
        <f>transport!P14</f>
        <v>0</v>
      </c>
      <c r="Q9" s="444">
        <f>SUM(B9:P9)</f>
        <v>49732.607640234375</v>
      </c>
    </row>
    <row r="10" spans="1:17">
      <c r="A10" s="440" t="s">
        <v>539</v>
      </c>
      <c r="B10" s="441">
        <f>transport!B54</f>
        <v>6.2445121580225793</v>
      </c>
      <c r="C10" s="441">
        <f>transport!C54</f>
        <v>0</v>
      </c>
      <c r="D10" s="441">
        <f>transport!D54</f>
        <v>0</v>
      </c>
      <c r="E10" s="441">
        <f>transport!E54</f>
        <v>0</v>
      </c>
      <c r="F10" s="441">
        <f>transport!F54</f>
        <v>0</v>
      </c>
      <c r="G10" s="441">
        <f>transport!G54</f>
        <v>1113.4097382359944</v>
      </c>
      <c r="H10" s="441">
        <f>transport!H54</f>
        <v>0</v>
      </c>
      <c r="I10" s="441">
        <f>transport!I54</f>
        <v>0</v>
      </c>
      <c r="J10" s="441">
        <f>transport!J54</f>
        <v>0</v>
      </c>
      <c r="K10" s="441">
        <f>transport!K54</f>
        <v>0</v>
      </c>
      <c r="L10" s="441">
        <f>transport!L54</f>
        <v>0</v>
      </c>
      <c r="M10" s="441">
        <f>transport!M54</f>
        <v>34.756337972535313</v>
      </c>
      <c r="N10" s="441">
        <f>transport!N54</f>
        <v>0</v>
      </c>
      <c r="O10" s="441">
        <f>transport!O54</f>
        <v>0</v>
      </c>
      <c r="P10" s="442">
        <f>transport!P54</f>
        <v>0</v>
      </c>
      <c r="Q10" s="440">
        <f t="shared" si="0"/>
        <v>1154.4105883665522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595.76319272000001</v>
      </c>
      <c r="C14" s="448"/>
      <c r="D14" s="448">
        <f>'SEAP template'!E25</f>
        <v>1726.0148282</v>
      </c>
      <c r="E14" s="448"/>
      <c r="F14" s="448"/>
      <c r="G14" s="448"/>
      <c r="H14" s="448"/>
      <c r="I14" s="448"/>
      <c r="J14" s="448"/>
      <c r="K14" s="448"/>
      <c r="L14" s="448"/>
      <c r="M14" s="448"/>
      <c r="N14" s="448"/>
      <c r="O14" s="448"/>
      <c r="P14" s="449"/>
      <c r="Q14" s="440">
        <f t="shared" si="0"/>
        <v>2321.77802092</v>
      </c>
    </row>
    <row r="15" spans="1:17" s="450" customFormat="1">
      <c r="A15" s="956" t="s">
        <v>543</v>
      </c>
      <c r="B15" s="896">
        <f ca="1">SUM(B4:B14)</f>
        <v>47788.629851945152</v>
      </c>
      <c r="C15" s="896">
        <f t="shared" ref="C15:Q15" ca="1" si="1">SUM(C4:C14)</f>
        <v>34431.428571428572</v>
      </c>
      <c r="D15" s="896">
        <f t="shared" ca="1" si="1"/>
        <v>153083.23804111194</v>
      </c>
      <c r="E15" s="896">
        <f t="shared" si="1"/>
        <v>2340.5344112602984</v>
      </c>
      <c r="F15" s="896">
        <f t="shared" ca="1" si="1"/>
        <v>48084.918562245912</v>
      </c>
      <c r="G15" s="896">
        <f t="shared" si="1"/>
        <v>40669.446781143459</v>
      </c>
      <c r="H15" s="896">
        <f t="shared" si="1"/>
        <v>8526.7930629032089</v>
      </c>
      <c r="I15" s="896">
        <f t="shared" si="1"/>
        <v>0</v>
      </c>
      <c r="J15" s="896">
        <f t="shared" si="1"/>
        <v>1369.5961402635985</v>
      </c>
      <c r="K15" s="896">
        <f t="shared" si="1"/>
        <v>0</v>
      </c>
      <c r="L15" s="896">
        <f t="shared" ca="1" si="1"/>
        <v>0</v>
      </c>
      <c r="M15" s="896">
        <f t="shared" si="1"/>
        <v>1534.7367553048884</v>
      </c>
      <c r="N15" s="896">
        <f t="shared" ca="1" si="1"/>
        <v>9147.9183516900193</v>
      </c>
      <c r="O15" s="896">
        <f t="shared" si="1"/>
        <v>287.65333333333336</v>
      </c>
      <c r="P15" s="896">
        <f t="shared" si="1"/>
        <v>400.4</v>
      </c>
      <c r="Q15" s="896">
        <f t="shared" ca="1" si="1"/>
        <v>347665.29386263038</v>
      </c>
    </row>
    <row r="17" spans="1:17">
      <c r="A17" s="451" t="s">
        <v>544</v>
      </c>
      <c r="B17" s="714">
        <f ca="1">huishoudens!B10</f>
        <v>0.20445984990375898</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4831.913315545341</v>
      </c>
      <c r="C22" s="441">
        <f t="shared" ref="C22:C32" ca="1" si="3">C4*$C$17</f>
        <v>0</v>
      </c>
      <c r="D22" s="441">
        <f t="shared" ref="D22:D32" si="4">D4*$D$17</f>
        <v>10398.597634992904</v>
      </c>
      <c r="E22" s="441">
        <f t="shared" ref="E22:E32" si="5">E4*$E$17</f>
        <v>260.33557943060379</v>
      </c>
      <c r="F22" s="441">
        <f t="shared" ref="F22:F32" si="6">F4*$F$17</f>
        <v>8325.2353776615619</v>
      </c>
      <c r="G22" s="441">
        <f t="shared" ref="G22:G32" si="7">G4*$G$17</f>
        <v>0</v>
      </c>
      <c r="H22" s="441">
        <f t="shared" ref="H22:H32" si="8">H4*$H$17</f>
        <v>0</v>
      </c>
      <c r="I22" s="441">
        <f t="shared" ref="I22:I32" si="9">I4*$I$17</f>
        <v>0</v>
      </c>
      <c r="J22" s="441">
        <f t="shared" ref="J22:J32" si="10">J4*$J$17</f>
        <v>203.55955968757436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24019.641467317986</v>
      </c>
    </row>
    <row r="23" spans="1:17">
      <c r="A23" s="440" t="s">
        <v>149</v>
      </c>
      <c r="B23" s="441">
        <f t="shared" ca="1" si="2"/>
        <v>2016.7189655978782</v>
      </c>
      <c r="C23" s="441">
        <f t="shared" ca="1" si="3"/>
        <v>0</v>
      </c>
      <c r="D23" s="441">
        <f t="shared" ca="1" si="4"/>
        <v>2681.3064532223098</v>
      </c>
      <c r="E23" s="441">
        <f t="shared" si="5"/>
        <v>43.619257646998058</v>
      </c>
      <c r="F23" s="441">
        <f t="shared" ca="1" si="6"/>
        <v>628.34078188006424</v>
      </c>
      <c r="G23" s="441">
        <f t="shared" si="7"/>
        <v>0</v>
      </c>
      <c r="H23" s="441">
        <f t="shared" si="8"/>
        <v>0</v>
      </c>
      <c r="I23" s="441">
        <f t="shared" si="9"/>
        <v>0</v>
      </c>
      <c r="J23" s="441">
        <f t="shared" si="10"/>
        <v>7.1100540801432785E-3</v>
      </c>
      <c r="K23" s="441">
        <f t="shared" si="11"/>
        <v>0</v>
      </c>
      <c r="L23" s="441">
        <f t="shared" ca="1" si="12"/>
        <v>0</v>
      </c>
      <c r="M23" s="441">
        <f t="shared" si="13"/>
        <v>0</v>
      </c>
      <c r="N23" s="441">
        <f t="shared" ca="1" si="14"/>
        <v>0</v>
      </c>
      <c r="O23" s="441">
        <f t="shared" si="15"/>
        <v>0</v>
      </c>
      <c r="P23" s="442">
        <f t="shared" si="16"/>
        <v>0</v>
      </c>
      <c r="Q23" s="440">
        <f t="shared" ref="Q23:Q32" ca="1" si="17">SUM(B23:P23)</f>
        <v>5369.9925684013306</v>
      </c>
    </row>
    <row r="24" spans="1:17">
      <c r="A24" s="440" t="s">
        <v>187</v>
      </c>
      <c r="B24" s="441">
        <f t="shared" ca="1" si="2"/>
        <v>185.5601947582052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185.5601947582052</v>
      </c>
    </row>
    <row r="25" spans="1:17">
      <c r="A25" s="440" t="s">
        <v>105</v>
      </c>
      <c r="B25" s="441">
        <f t="shared" ca="1" si="2"/>
        <v>636.29440115756711</v>
      </c>
      <c r="C25" s="441">
        <f t="shared" ca="1" si="3"/>
        <v>8182.5277310924375</v>
      </c>
      <c r="D25" s="441">
        <f t="shared" si="4"/>
        <v>0</v>
      </c>
      <c r="E25" s="441">
        <f t="shared" si="5"/>
        <v>13.995204552551391</v>
      </c>
      <c r="F25" s="441">
        <f t="shared" si="6"/>
        <v>3030.1456294991435</v>
      </c>
      <c r="G25" s="441">
        <f t="shared" si="7"/>
        <v>0</v>
      </c>
      <c r="H25" s="441">
        <f t="shared" si="8"/>
        <v>0</v>
      </c>
      <c r="I25" s="441">
        <f t="shared" si="9"/>
        <v>0</v>
      </c>
      <c r="J25" s="441">
        <f t="shared" si="10"/>
        <v>261.5819292938707</v>
      </c>
      <c r="K25" s="441">
        <f t="shared" si="11"/>
        <v>0</v>
      </c>
      <c r="L25" s="441">
        <f t="shared" si="12"/>
        <v>0</v>
      </c>
      <c r="M25" s="441">
        <f t="shared" si="13"/>
        <v>0</v>
      </c>
      <c r="N25" s="441">
        <f t="shared" si="14"/>
        <v>0</v>
      </c>
      <c r="O25" s="441">
        <f t="shared" si="15"/>
        <v>0</v>
      </c>
      <c r="P25" s="442">
        <f t="shared" si="16"/>
        <v>0</v>
      </c>
      <c r="Q25" s="440">
        <f t="shared" ca="1" si="17"/>
        <v>12124.544895595571</v>
      </c>
    </row>
    <row r="26" spans="1:17">
      <c r="A26" s="440" t="s">
        <v>600</v>
      </c>
      <c r="B26" s="441">
        <f t="shared" ca="1" si="2"/>
        <v>1974.4293124302051</v>
      </c>
      <c r="C26" s="441">
        <f t="shared" ca="1" si="3"/>
        <v>0</v>
      </c>
      <c r="D26" s="441">
        <f t="shared" si="4"/>
        <v>17489.238476684237</v>
      </c>
      <c r="E26" s="441">
        <f t="shared" si="5"/>
        <v>188.15277326667018</v>
      </c>
      <c r="F26" s="441">
        <f t="shared" si="6"/>
        <v>854.95146707888864</v>
      </c>
      <c r="G26" s="441">
        <f t="shared" si="7"/>
        <v>0</v>
      </c>
      <c r="H26" s="441">
        <f t="shared" si="8"/>
        <v>0</v>
      </c>
      <c r="I26" s="441">
        <f t="shared" si="9"/>
        <v>0</v>
      </c>
      <c r="J26" s="441">
        <f t="shared" si="10"/>
        <v>19.688434617788662</v>
      </c>
      <c r="K26" s="441">
        <f t="shared" si="11"/>
        <v>0</v>
      </c>
      <c r="L26" s="441">
        <f t="shared" si="12"/>
        <v>0</v>
      </c>
      <c r="M26" s="441">
        <f t="shared" si="13"/>
        <v>0</v>
      </c>
      <c r="N26" s="441">
        <f t="shared" si="14"/>
        <v>0</v>
      </c>
      <c r="O26" s="441">
        <f t="shared" si="15"/>
        <v>0</v>
      </c>
      <c r="P26" s="442">
        <f t="shared" si="16"/>
        <v>0</v>
      </c>
      <c r="Q26" s="440">
        <f t="shared" ca="1" si="17"/>
        <v>20526.460464077791</v>
      </c>
    </row>
    <row r="27" spans="1:17" s="446" customFormat="1">
      <c r="A27" s="444" t="s">
        <v>549</v>
      </c>
      <c r="B27" s="708">
        <f t="shared" ca="1" si="2"/>
        <v>2.8534921655375061</v>
      </c>
      <c r="C27" s="445">
        <f t="shared" ca="1" si="3"/>
        <v>0</v>
      </c>
      <c r="D27" s="445">
        <f t="shared" si="4"/>
        <v>5.0165241087649122</v>
      </c>
      <c r="E27" s="445">
        <f t="shared" si="5"/>
        <v>25.198496459264383</v>
      </c>
      <c r="F27" s="445">
        <f t="shared" si="6"/>
        <v>0</v>
      </c>
      <c r="G27" s="445">
        <f t="shared" si="7"/>
        <v>10561.461890456292</v>
      </c>
      <c r="H27" s="445">
        <f t="shared" si="8"/>
        <v>2123.1714726628989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12717.701875852759</v>
      </c>
    </row>
    <row r="28" spans="1:17">
      <c r="A28" s="440" t="s">
        <v>539</v>
      </c>
      <c r="B28" s="441">
        <f t="shared" ca="1" si="2"/>
        <v>1.2767520185514947</v>
      </c>
      <c r="C28" s="441">
        <f t="shared" ca="1" si="3"/>
        <v>0</v>
      </c>
      <c r="D28" s="441">
        <f t="shared" si="4"/>
        <v>0</v>
      </c>
      <c r="E28" s="441">
        <f t="shared" si="5"/>
        <v>0</v>
      </c>
      <c r="F28" s="441">
        <f t="shared" si="6"/>
        <v>0</v>
      </c>
      <c r="G28" s="441">
        <f t="shared" si="7"/>
        <v>297.28040010901054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298.55715212756206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121.80965296171544</v>
      </c>
      <c r="C32" s="441">
        <f t="shared" ca="1" si="3"/>
        <v>0</v>
      </c>
      <c r="D32" s="441">
        <f t="shared" si="4"/>
        <v>348.65499529640005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470.46464825811552</v>
      </c>
    </row>
    <row r="33" spans="1:17" s="450" customFormat="1">
      <c r="A33" s="956" t="s">
        <v>543</v>
      </c>
      <c r="B33" s="896">
        <f ca="1">SUM(B22:B32)</f>
        <v>9770.8560866350017</v>
      </c>
      <c r="C33" s="896">
        <f t="shared" ref="C33:Q33" ca="1" si="18">SUM(C22:C32)</f>
        <v>8182.5277310924375</v>
      </c>
      <c r="D33" s="896">
        <f t="shared" ca="1" si="18"/>
        <v>30922.814084304617</v>
      </c>
      <c r="E33" s="896">
        <f t="shared" si="18"/>
        <v>531.30131135608781</v>
      </c>
      <c r="F33" s="896">
        <f t="shared" ca="1" si="18"/>
        <v>12838.673256119659</v>
      </c>
      <c r="G33" s="896">
        <f t="shared" si="18"/>
        <v>10858.742290565302</v>
      </c>
      <c r="H33" s="896">
        <f t="shared" si="18"/>
        <v>2123.1714726628989</v>
      </c>
      <c r="I33" s="896">
        <f t="shared" si="18"/>
        <v>0</v>
      </c>
      <c r="J33" s="896">
        <f t="shared" si="18"/>
        <v>484.83703365331388</v>
      </c>
      <c r="K33" s="896">
        <f t="shared" si="18"/>
        <v>0</v>
      </c>
      <c r="L33" s="896">
        <f t="shared" ca="1" si="18"/>
        <v>0</v>
      </c>
      <c r="M33" s="896">
        <f t="shared" si="18"/>
        <v>0</v>
      </c>
      <c r="N33" s="896">
        <f t="shared" ca="1" si="18"/>
        <v>0</v>
      </c>
      <c r="O33" s="896">
        <f t="shared" si="18"/>
        <v>0</v>
      </c>
      <c r="P33" s="896">
        <f t="shared" si="18"/>
        <v>0</v>
      </c>
      <c r="Q33" s="896">
        <f t="shared" ca="1" si="18"/>
        <v>75712.92326638932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5392.1200109030906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24102</v>
      </c>
      <c r="D8" s="973">
        <f>'SEAP template'!D76</f>
        <v>28355.294117647059</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5727.7694117647061</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5392.1200109030906</v>
      </c>
      <c r="C10" s="977">
        <f>SUM(C4:C9)</f>
        <v>24102</v>
      </c>
      <c r="D10" s="977">
        <f t="shared" ref="D10:H10" si="0">SUM(D8:D9)</f>
        <v>28355.294117647059</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5727.7694117647061</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0.20445984990375898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34431.428571428572</v>
      </c>
      <c r="D17" s="974">
        <f>'SEAP template'!D87</f>
        <v>40507.563025210089</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8182.5277310924384</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34431.428571428572</v>
      </c>
      <c r="D20" s="977">
        <f t="shared" ref="D20:H20" si="2">SUM(D17:D19)</f>
        <v>40507.563025210089</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8182.5277310924384</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0.20445984990375898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2022-07-26T11:10:30Z</dcterms:modified>
</cp:coreProperties>
</file>