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4DCA3D1-A5A6-4AD3-99A7-5E0FE8877E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<sst xmlns="http://schemas.openxmlformats.org/spreadsheetml/2006/main" count="2416" uniqueCount="890">
  <si>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</si>
  <si>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</si>
  <si>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</si>
  <si>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</si>
  <si>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</si>
  <si>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</si>
  <si>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</si>
  <si>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</si>
  <si>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</si>
  <si>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</si>
  <si>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</si>
  <si>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</si>
  <si>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</si>
  <si>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</si>
  <si>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</si>
  <si>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</si>
  <si>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</si>
  <si>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</si>
  <si>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</si>
  <si>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</si>
  <si>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</si>
  <si>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</si>
  <si>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</si>
  <si>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</si>
  <si>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</si>
  <si>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</si>
  <si>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</si>
  <si>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</si>
  <si>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</si>
  <si>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</si>
  <si>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</si>
  <si>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</si>
  <si>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</si>
  <si>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</si>
  <si>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</si>
  <si>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</si>
  <si>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</si>
  <si>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</si>
  <si>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</si>
  <si>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</si>
  <si>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</si>
  <si>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</si>
  <si>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</si>
  <si>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</si>
  <si>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</si>
  <si>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</si>
  <si>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</si>
  <si>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</si>
  <si>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</si>
  <si>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</si>
  <si>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</si>
  <si>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</si>
  <si>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</si>
  <si>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</si>
  <si>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</si>
  <si>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</si>
  <si>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</si>
  <si>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</si>
  <si>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</si>
  <si>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</si>
  <si>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</si>
  <si>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</si>
  <si>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</si>
  <si>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</si>
  <si>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</si>
  <si>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</si>
  <si>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</si>
  <si>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</si>
  <si>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</si>
  <si>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</si>
  <si>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</si>
  <si>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</si>
  <si>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</si>
  <si>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</si>
  <si>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</si>
  <si>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</si>
  <si>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</si>
  <si>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</si>
  <si>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</si>
  <si>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</si>
  <si>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</si>
  <si>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</si>
  <si>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</si>
  <si>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</si>
  <si>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</si>
  <si>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</si>
  <si>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</si>
  <si>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</si>
  <si>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</si>
  <si>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</si>
  <si>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</si>
  <si>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</si>
  <si>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</si>
  <si>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</si>
  <si>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</si>
  <si>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</si>
  <si>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</si>
  <si>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</si>
  <si>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</si>
  <si>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</si>
  <si>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</si>
  <si>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</si>
  <si>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</si>
  <si>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</si>
  <si>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</si>
  <si>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</si>
  <si>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</si>
  <si>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</si>
  <si>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</si>
  <si>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</si>
  <si>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</si>
  <si>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</si>
  <si>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</si>
  <si>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</si>
  <si>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</si>
  <si>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</si>
  <si>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</si>
  <si>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</si>
  <si>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</si>
  <si>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</si>
  <si>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</si>
  <si>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</si>
  <si>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</si>
  <si>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</si>
  <si>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</si>
  <si>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</si>
  <si>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</si>
  <si>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</si>
  <si>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</si>
  <si>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</si>
  <si>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</si>
  <si>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</si>
  <si>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</si>
  <si>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</si>
  <si>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</si>
  <si>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</si>
  <si>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</si>
  <si>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</si>
  <si>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</si>
  <si>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</si>
  <si>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</si>
  <si>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</si>
  <si>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</si>
  <si>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</si>
  <si>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</si>
  <si>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</si>
  <si>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</si>
  <si>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</si>
  <si>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</si>
  <si>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</si>
  <si>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</si>
  <si>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</si>
  <si>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</si>
  <si>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</si>
  <si>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</si>
  <si>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</si>
  <si>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</si>
  <si>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</si>
  <si>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</si>
  <si>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</si>
  <si>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</si>
  <si>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</si>
  <si>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</si>
  <si>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</si>
  <si>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</si>
  <si>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</si>
  <si>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</si>
  <si>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</si>
  <si>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</si>
  <si>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</si>
  <si>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</si>
  <si>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</si>
  <si>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</si>
  <si>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</si>
  <si>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</si>
  <si>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</si>
  <si>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</si>
  <si>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</si>
  <si>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</si>
  <si>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</si>
  <si>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</si>
  <si>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</si>
  <si>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</si>
  <si>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</si>
  <si>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</si>
  <si>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</si>
  <si>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</si>
  <si>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</si>
  <si>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</si>
  <si>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</si>
  <si>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</si>
  <si>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</si>
  <si>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</si>
  <si>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</si>
  <si>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</si>
  <si>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</si>
  <si>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</si>
  <si>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</si>
  <si>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</si>
  <si>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</si>
  <si>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</si>
  <si>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</si>
  <si>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</si>
  <si>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</si>
  <si>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</si>
  <si>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</si>
  <si>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</si>
  <si>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</si>
  <si>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</si>
  <si>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</si>
  <si>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</si>
  <si>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</si>
  <si>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</si>
  <si>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</si>
  <si>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</si>
  <si>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</si>
  <si>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</si>
  <si>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</si>
  <si>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</si>
  <si>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</si>
  <si>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</si>
  <si>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</si>
  <si>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</si>
  <si>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</si>
  <si>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</si>
  <si>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</si>
  <si>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</si>
  <si>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</si>
  <si>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</si>
  <si>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</si>
  <si>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</si>
  <si>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</si>
  <si>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</si>
  <si>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</si>
  <si>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</si>
  <si>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</si>
  <si>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</si>
  <si>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</si>
  <si>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</si>
  <si>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</si>
  <si>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</si>
  <si>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</si>
  <si>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</si>
  <si>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</si>
  <si>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</si>
  <si>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</si>
  <si>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</si>
  <si>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</si>
  <si>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</si>
  <si>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</si>
  <si>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</si>
  <si>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</si>
  <si>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</si>
  <si>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</si>
  <si>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</si>
  <si>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</si>
  <si>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</si>
  <si>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</si>
  <si>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</si>
  <si>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</si>
  <si>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</si>
  <si>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</si>
  <si>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</si>
  <si>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</si>
  <si>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</si>
  <si>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</si>
  <si>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</si>
  <si>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</si>
  <si>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</si>
  <si>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</si>
  <si>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</si>
  <si>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</si>
  <si>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</si>
  <si>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</si>
  <si>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</si>
  <si>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</si>
  <si>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</si>
  <si>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</si>
  <si>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</si>
  <si>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</si>
  <si>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</si>
  <si>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</si>
  <si>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</si>
  <si>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</si>
  <si>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</si>
  <si>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</si>
  <si>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</si>
  <si>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</si>
  <si>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</si>
  <si>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</si>
  <si>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</si>
  <si>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</si>
  <si>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</si>
  <si>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</si>
  <si>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</si>
  <si>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</si>
  <si>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</si>
  <si>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</si>
  <si>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</si>
  <si>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</si>
  <si>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</si>
  <si>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</si>
  <si>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</si>
  <si>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</si>
  <si>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</si>
  <si>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</si>
  <si>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</si>
  <si>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</si>
  <si>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</si>
  <si>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</si>
  <si>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</si>
  <si>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</si>
  <si>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</si>
  <si>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</si>
  <si>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</si>
  <si>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</si>
  <si>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</si>
  <si>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</si>
  <si>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</si>
  <si>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</si>
  <si>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</si>
  <si>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</si>
  <si>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</si>
  <si>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</si>
  <si>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</si>
  <si>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</si>
  <si>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</si>
  <si>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</si>
  <si>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</si>
  <si>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</si>
  <si>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</si>
  <si>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</si>
  <si>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</si>
  <si>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</si>
  <si>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</si>
  <si>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</si>
  <si>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</si>
  <si>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</si>
  <si>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</si>
  <si>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</si>
  <si>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</si>
  <si>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</si>
  <si>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</si>
  <si>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</si>
  <si>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</si>
  <si>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</si>
  <si>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</si>
  <si>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</si>
  <si>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</si>
  <si>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</si>
  <si>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</si>
  <si>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</si>
  <si>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</si>
  <si>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</si>
  <si>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</si>
  <si>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</si>
  <si>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</si>
  <si>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</si>
  <si>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</si>
  <si>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</si>
  <si>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</si>
  <si>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</si>
  <si>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</si>
  <si>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</si>
  <si>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</si>
  <si>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</si>
  <si>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</si>
  <si>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</si>
  <si>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</si>
  <si>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</si>
  <si>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</si>
  <si>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</si>
  <si>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</si>
  <si>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</si>
  <si>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</si>
  <si>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</si>
  <si>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</si>
  <si>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</si>
  <si>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</si>
  <si>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</si>
  <si>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</si>
  <si>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</si>
  <si>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</si>
  <si>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</si>
  <si>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</si>
  <si>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</si>
  <si>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</si>
  <si>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</si>
  <si>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</si>
  <si>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</si>
  <si>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</si>
  <si>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</si>
  <si>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</si>
  <si>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</si>
  <si>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</si>
  <si>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</si>
  <si>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</si>
  <si>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</si>
  <si>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</si>
  <si>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</si>
  <si>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</si>
  <si>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</si>
  <si>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</si>
  <si>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</si>
  <si>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</si>
  <si>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</si>
  <si>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</si>
  <si>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</si>
  <si>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</si>
  <si>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</si>
  <si>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</si>
  <si>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</si>
  <si>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</si>
  <si>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</si>
  <si>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</si>
  <si>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</si>
  <si>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</si>
  <si>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</si>
  <si>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</si>
  <si>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</si>
  <si>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</si>
  <si>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</si>
  <si>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</si>
  <si>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</si>
  <si>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</si>
  <si>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</si>
  <si>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</si>
  <si>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</si>
  <si>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</si>
  <si>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</si>
  <si>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</si>
  <si>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</si>
  <si>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</si>
  <si>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</si>
  <si>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</si>
  <si>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</si>
  <si>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</si>
  <si>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</si>
  <si>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</si>
  <si>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</si>
  <si>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</si>
  <si>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</si>
  <si>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</si>
  <si>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</si>
  <si>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</si>
  <si>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</si>
  <si>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</si>
  <si>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</si>
  <si>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</si>
  <si>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</si>
  <si>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</si>
  <si>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</si>
  <si>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</si>
  <si>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</si>
  <si>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</si>
  <si>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</si>
  <si>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</si>
  <si>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</si>
  <si>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</si>
  <si>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</si>
  <si>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</si>
  <si>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</si>
  <si>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</si>
  <si>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</si>
  <si>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</si>
  <si>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</si>
  <si>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</si>
  <si>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</si>
  <si>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</si>
  <si>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</si>
  <si>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</si>
  <si>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</si>
  <si>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</si>
  <si>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</si>
  <si>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</si>
  <si>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</si>
  <si>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</si>
  <si>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</si>
  <si>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</si>
  <si>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</si>
  <si>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</si>
  <si>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</si>
  <si>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</si>
  <si>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</si>
  <si>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</si>
  <si>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</si>
  <si>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</si>
  <si>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</si>
  <si>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</si>
  <si>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</si>
  <si>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</si>
  <si>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</si>
  <si>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</si>
  <si>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</si>
  <si>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</si>
  <si>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</si>
  <si>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</si>
  <si>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</si>
  <si>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</si>
  <si>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</si>
  <si>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</si>
  <si>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</si>
  <si>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</si>
  <si>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</si>
  <si>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</si>
  <si>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</si>
  <si>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</si>
  <si>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</si>
  <si>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</si>
  <si>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</si>
  <si>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</si>
  <si>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</si>
  <si>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</si>
  <si>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</si>
  <si>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</si>
  <si>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</si>
  <si>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</si>
  <si>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</si>
  <si>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</si>
  <si>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</si>
  <si>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</si>
  <si>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</si>
  <si>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</si>
  <si>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</si>
  <si>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</si>
  <si>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</si>
  <si>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</si>
  <si>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</si>
  <si>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</si>
  <si>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</si>
  <si>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</si>
  <si>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</si>
  <si>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</si>
  <si>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</si>
  <si>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</si>
  <si>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</si>
  <si>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</si>
  <si>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</si>
  <si>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</si>
  <si>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</si>
  <si>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</si>
  <si>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</si>
  <si>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</si>
  <si>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</si>
  <si>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</si>
  <si>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</si>
  <si>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</si>
  <si>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</si>
  <si>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</si>
  <si>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</si>
  <si>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</si>
  <si>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</si>
  <si>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</si>
  <si>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</si>
  <si>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</si>
  <si>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</si>
  <si>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</si>
  <si>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</si>
  <si>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</si>
  <si>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</si>
  <si>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</si>
  <si>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</si>
  <si>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</si>
  <si>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</si>
  <si>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</si>
  <si>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</si>
  <si>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</si>
  <si>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</si>
  <si>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</si>
  <si>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</si>
  <si>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</si>
  <si>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</si>
  <si>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</si>
  <si>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</si>
  <si>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</si>
  <si>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</si>
  <si>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</si>
  <si>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</si>
  <si>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</si>
  <si>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</si>
  <si>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</si>
  <si>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</si>
  <si>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</si>
  <si>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</si>
  <si>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</si>
  <si>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</si>
  <si>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</si>
  <si>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</si>
  <si>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</si>
  <si>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</si>
  <si>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</si>
  <si>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</si>
  <si>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</si>
  <si>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</si>
  <si>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</si>
  <si>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</si>
  <si>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</si>
  <si>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</si>
  <si>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</si>
  <si>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</si>
  <si>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</si>
  <si>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</si>
  <si>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</si>
  <si>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</si>
  <si>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</si>
  <si>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</si>
  <si>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</si>
  <si>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</si>
  <si>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</si>
  <si>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</si>
  <si>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</si>
  <si>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</si>
  <si>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</si>
  <si>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</si>
  <si>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</si>
  <si>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</si>
  <si>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</si>
  <si>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</si>
  <si>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</si>
  <si>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</si>
  <si>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</si>
  <si>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</si>
  <si>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</si>
  <si>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</si>
  <si>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</si>
  <si>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</si>
  <si>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</si>
  <si>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</si>
  <si>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</si>
  <si>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</si>
  <si>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</si>
  <si>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</si>
  <si>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</si>
  <si>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</si>
  <si>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</si>
  <si>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</si>
  <si>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</si>
  <si>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</si>
  <si>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</si>
  <si>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</si>
  <si>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</si>
  <si>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</si>
  <si>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</si>
  <si>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</si>
  <si>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</si>
  <si>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</si>
  <si>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</si>
  <si>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</si>
  <si>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</si>
  <si>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</si>
  <si>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</si>
  <si>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</si>
  <si>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</si>
  <si>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</si>
  <si>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</si>
  <si>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</si>
  <si>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</si>
  <si>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</si>
  <si>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</si>
  <si>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</si>
  <si>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</si>
  <si>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</si>
  <si>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</si>
  <si>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</si>
  <si>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</si>
  <si>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</si>
  <si>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</si>
  <si>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</si>
  <si>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</si>
  <si>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</si>
  <si>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</si>
  <si>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</si>
  <si>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</si>
  <si>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</si>
  <si>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</si>
  <si>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</si>
  <si>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</si>
  <si>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</si>
  <si>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</si>
  <si>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</si>
  <si>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</si>
  <si>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</si>
  <si>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</si>
  <si>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</si>
  <si>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</si>
  <si>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</si>
  <si>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</si>
  <si>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</si>
  <si>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</si>
  <si>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</si>
  <si>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</si>
  <si>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</si>
  <si>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</si>
  <si>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</si>
  <si>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</si>
  <si>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</si>
  <si>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</si>
  <si>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</si>
  <si>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</si>
  <si>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</si>
  <si>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</si>
  <si>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</si>
  <si>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</si>
  <si>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</si>
  <si>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</si>
  <si>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</si>
  <si>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</si>
  <si>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</si>
  <si>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</si>
  <si>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</si>
  <si>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</si>
  <si>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</si>
  <si>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</si>
  <si>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</si>
  <si>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</si>
  <si>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</si>
  <si>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</si>
  <si>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</si>
  <si>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</si>
  <si>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</si>
  <si>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</si>
  <si>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</si>
  <si>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</si>
  <si>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</si>
  <si>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</si>
  <si>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</si>
  <si>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</si>
  <si>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</si>
  <si>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</si>
  <si>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</si>
  <si>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</si>
  <si>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</si>
  <si>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</si>
  <si>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</si>
  <si>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</si>
  <si>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</si>
  <si>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</si>
  <si>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</si>
  <si>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</si>
  <si>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</si>
  <si>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</si>
  <si>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</si>
  <si>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</si>
  <si>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</si>
  <si>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</si>
  <si>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</si>
  <si>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</si>
  <si>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</si>
  <si>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</si>
  <si>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</si>
  <si>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</si>
  <si>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</si>
  <si>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</si>
  <si>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</si>
  <si>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</si>
  <si>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</si>
  <si>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</si>
  <si>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</si>
  <si>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</si>
  <si>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</si>
  <si>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</si>
  <si>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</si>
  <si>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</si>
  <si>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</si>
  <si>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</si>
  <si>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</si>
  <si>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</si>
  <si>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</si>
  <si>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</si>
  <si>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</si>
  <si>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</si>
  <si>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</si>
  <si>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</si>
  <si>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</si>
  <si>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</si>
  <si>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</si>
  <si>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</si>
  <si>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</si>
  <si>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</si>
  <si>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</si>
  <si>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</si>
  <si>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</si>
  <si>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</si>
  <si>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</si>
  <si>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</si>
  <si>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</si>
  <si>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</si>
  <si>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</si>
  <si>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</si>
  <si>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</si>
  <si>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</si>
  <si>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</si>
  <si>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</si>
  <si>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</si>
  <si>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</si>
  <si>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</si>
  <si>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</si>
  <si>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</si>
  <si>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</si>
  <si>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</si>
  <si>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</si>
  <si>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</si>
  <si>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</si>
  <si>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</si>
  <si>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</si>
  <si>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</si>
  <si>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</si>
  <si>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</si>
  <si>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</si>
  <si>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</si>
  <si>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</si>
  <si>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</si>
  <si>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</si>
  <si>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</si>
  <si>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</si>
  <si>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</si>
  <si>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</si>
  <si>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</si>
  <si>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</si>
  <si>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</si>
  <si>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</si>
  <si>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</si>
  <si>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</si>
  <si>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</si>
  <si>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</si>
  <si>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</si>
  <si>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</si>
  <si>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</si>
  <si>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</si>
  <si>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</si>
  <si>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</si>
  <si>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</si>
  <si>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</si>
  <si>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</si>
  <si>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</si>
  <si>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</si>
  <si>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</si>
  <si>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</si>
  <si>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</si>
  <si>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</si>
  <si>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</si>
  <si>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</si>
  <si>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</si>
  <si>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</si>
  <si>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</si>
  <si>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</si>
  <si>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</si>
  <si>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</si>
  <si>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</si>
  <si>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</si>
  <si>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</si>
  <si>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</si>
  <si>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</si>
  <si>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</si>
  <si>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</si>
  <si>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</si>
  <si>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</si>
  <si>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</si>
  <si>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</si>
  <si>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</si>
  <si>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</si>
  <si>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</si>
  <si>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</si>
  <si>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</si>
  <si>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</si>
  <si>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</si>
  <si>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</si>
  <si>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</si>
  <si>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</si>
  <si>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</si>
  <si>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</si>
  <si>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</si>
  <si>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</si>
  <si>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</si>
  <si>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</si>
  <si>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</si>
  <si>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</si>
  <si>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</si>
  <si>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</si>
  <si>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</si>
  <si>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</si>
  <si>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</si>
  <si>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31040</t>
  </si>
  <si>
    <t>ZEDELGEM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</si>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</sst>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19D5F8D-8143-411F-9F7E-C6D80D38E96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188927.48181332494</c:v>
                </c:pt>
                <c:pt idx="1">
                  <c:v>60462.79523698939</c:v>
                </c:pt>
                <c:pt idx="2">
                  <c:v>1995.7576979</c:v>
                </c:pt>
                <c:pt idx="3">
                  <c:v>59348.953476921808</c:v>
                </c:pt>
                <c:pt idx="4">
                  <c:v>78380.350974410976</c:v>
                </c:pt>
                <c:pt idx="5">
                  <c:v>207915.48300605975</c:v>
                </c:pt>
                <c:pt idx="6">
                  <c:v>1953.6903943848263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188927.48181332494</c:v>
                </c:pt>
                <c:pt idx="1">
                  <c:v>60462.79523698939</c:v>
                </c:pt>
                <c:pt idx="2">
                  <c:v>1995.7576979</c:v>
                </c:pt>
                <c:pt idx="3">
                  <c:v>59348.953476921808</c:v>
                </c:pt>
                <c:pt idx="4">
                  <c:v>78380.350974410976</c:v>
                </c:pt>
                <c:pt idx="5">
                  <c:v>207915.48300605975</c:v>
                </c:pt>
                <c:pt idx="6">
                  <c:v>1953.6903943848263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38870.866329569268</c:v>
                </c:pt>
                <c:pt idx="2">
                  <c:v>11978.538796258263</c:v>
                </c:pt>
                <c:pt idx="3">
                  <c:v>383.51027699434354</c:v>
                </c:pt>
                <c:pt idx="4">
                  <c:v>14312.371364723716</c:v>
                </c:pt>
                <c:pt idx="5">
                  <c:v>15860.318733396889</c:v>
                </c:pt>
                <c:pt idx="6">
                  <c:v>53280.994010012626</c:v>
                </c:pt>
                <c:pt idx="7">
                  <c:v>505.13935284816739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38870.866329569268</c:v>
                </c:pt>
                <c:pt idx="2">
                  <c:v>11978.538796258263</c:v>
                </c:pt>
                <c:pt idx="3">
                  <c:v>383.51027699434354</c:v>
                </c:pt>
                <c:pt idx="4">
                  <c:v>14312.371364723716</c:v>
                </c:pt>
                <c:pt idx="5">
                  <c:v>15860.318733396889</c:v>
                </c:pt>
                <c:pt idx="6">
                  <c:v>53280.994010012626</c:v>
                </c:pt>
                <c:pt idx="7">
                  <c:v>505.13935284816739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31040</v>
      </c>
      <c r="B6" s="380"/>
      <c r="C6" s="381"/>
    </row>
    <row r="7" spans="1:7" s="378" customFormat="1" ht="15.75" customHeight="1">
      <c r="A7" s="382" t="str">
        <f>txtMunicipality</f>
        <v>ZEDELGEM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0.19216274470487338</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0.19216274470487338</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9031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3520.58</v>
      </c>
      <c r="C14" s="322"/>
      <c r="D14" s="322"/>
      <c r="E14" s="322"/>
      <c r="F14" s="322"/>
    </row>
    <row r="15" spans="1:6">
      <c r="A15" s="1248" t="s">
        <v>177</v>
      </c>
      <c r="B15" s="1249">
        <v>861</v>
      </c>
      <c r="C15" s="322"/>
      <c r="D15" s="322"/>
      <c r="E15" s="322"/>
      <c r="F15" s="322"/>
    </row>
    <row r="16" spans="1:6">
      <c r="A16" s="1248" t="s">
        <v>6</v>
      </c>
      <c r="B16" s="1249">
        <v>1447</v>
      </c>
      <c r="C16" s="322"/>
      <c r="D16" s="322"/>
      <c r="E16" s="322"/>
      <c r="F16" s="322"/>
    </row>
    <row r="17" spans="1:6">
      <c r="A17" s="1248" t="s">
        <v>7</v>
      </c>
      <c r="B17" s="1249">
        <v>1941</v>
      </c>
      <c r="C17" s="322"/>
      <c r="D17" s="322"/>
      <c r="E17" s="322"/>
      <c r="F17" s="322"/>
    </row>
    <row r="18" spans="1:6">
      <c r="A18" s="1248" t="s">
        <v>8</v>
      </c>
      <c r="B18" s="1249">
        <v>2509</v>
      </c>
      <c r="C18" s="322"/>
      <c r="D18" s="322"/>
      <c r="E18" s="322"/>
      <c r="F18" s="322"/>
    </row>
    <row r="19" spans="1:6">
      <c r="A19" s="1248" t="s">
        <v>9</v>
      </c>
      <c r="B19" s="1249">
        <v>2207</v>
      </c>
      <c r="C19" s="322"/>
      <c r="D19" s="322"/>
      <c r="E19" s="322"/>
      <c r="F19" s="322"/>
    </row>
    <row r="20" spans="1:6">
      <c r="A20" s="1248" t="s">
        <v>10</v>
      </c>
      <c r="B20" s="1249">
        <v>1777</v>
      </c>
      <c r="C20" s="322"/>
      <c r="D20" s="322"/>
      <c r="E20" s="322"/>
      <c r="F20" s="322"/>
    </row>
    <row r="21" spans="1:6">
      <c r="A21" s="1248" t="s">
        <v>11</v>
      </c>
      <c r="B21" s="1249">
        <v>20196</v>
      </c>
      <c r="C21" s="322"/>
      <c r="D21" s="322"/>
      <c r="E21" s="322"/>
      <c r="F21" s="322"/>
    </row>
    <row r="22" spans="1:6">
      <c r="A22" s="1248" t="s">
        <v>12</v>
      </c>
      <c r="B22" s="1249">
        <v>52228</v>
      </c>
      <c r="C22" s="322"/>
      <c r="D22" s="322"/>
      <c r="E22" s="322"/>
      <c r="F22" s="322"/>
    </row>
    <row r="23" spans="1:6">
      <c r="A23" s="1248" t="s">
        <v>13</v>
      </c>
      <c r="B23" s="1249">
        <v>1115</v>
      </c>
      <c r="C23" s="322"/>
      <c r="D23" s="322"/>
      <c r="E23" s="322"/>
      <c r="F23" s="322"/>
    </row>
    <row r="24" spans="1:6">
      <c r="A24" s="1248" t="s">
        <v>14</v>
      </c>
      <c r="B24" s="1249">
        <v>113</v>
      </c>
      <c r="C24" s="322"/>
      <c r="D24" s="322"/>
      <c r="E24" s="322"/>
      <c r="F24" s="322"/>
    </row>
    <row r="25" spans="1:6">
      <c r="A25" s="1248" t="s">
        <v>15</v>
      </c>
      <c r="B25" s="1249">
        <v>4587</v>
      </c>
      <c r="C25" s="322"/>
      <c r="D25" s="322"/>
      <c r="E25" s="322"/>
      <c r="F25" s="322"/>
    </row>
    <row r="26" spans="1:6">
      <c r="A26" s="1248" t="s">
        <v>16</v>
      </c>
      <c r="B26" s="1249">
        <v>389</v>
      </c>
      <c r="C26" s="322"/>
      <c r="D26" s="322"/>
      <c r="E26" s="322"/>
      <c r="F26" s="322"/>
    </row>
    <row r="27" spans="1:6">
      <c r="A27" s="1248" t="s">
        <v>17</v>
      </c>
      <c r="B27" s="1249">
        <v>1</v>
      </c>
      <c r="C27" s="322"/>
      <c r="D27" s="322"/>
      <c r="E27" s="322"/>
      <c r="F27" s="322"/>
    </row>
    <row r="28" spans="1:6">
      <c r="A28" s="1248" t="s">
        <v>18</v>
      </c>
      <c r="B28" s="1250">
        <v>127962</v>
      </c>
      <c r="C28" s="322"/>
      <c r="D28" s="322"/>
      <c r="E28" s="322"/>
      <c r="F28" s="322"/>
    </row>
    <row r="29" spans="1:6">
      <c r="A29" s="1248" t="s">
        <v>884</v>
      </c>
      <c r="B29" s="1250">
        <v>226</v>
      </c>
      <c r="C29" s="322"/>
      <c r="D29" s="322"/>
      <c r="E29" s="322"/>
      <c r="F29" s="322"/>
    </row>
    <row r="30" spans="1:6">
      <c r="A30" s="1243" t="s">
        <v>885</v>
      </c>
      <c r="B30" s="1251">
        <v>63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23126.125294000001</v>
      </c>
    </row>
    <row r="39" spans="1:6">
      <c r="A39" s="1248" t="s">
        <v>29</v>
      </c>
      <c r="B39" s="1248" t="s">
        <v>30</v>
      </c>
      <c r="C39" s="1249">
        <v>5354</v>
      </c>
      <c r="D39" s="1249">
        <v>81787320.751000002</v>
      </c>
      <c r="E39" s="1249">
        <v>8525</v>
      </c>
      <c r="F39" s="1249">
        <v>37213575.986000001</v>
      </c>
    </row>
    <row r="40" spans="1:6">
      <c r="A40" s="1248" t="s">
        <v>29</v>
      </c>
      <c r="B40" s="1248" t="s">
        <v>28</v>
      </c>
      <c r="C40" s="1249">
        <v>0</v>
      </c>
      <c r="D40" s="1249">
        <v>0</v>
      </c>
      <c r="E40" s="1249">
        <v>1</v>
      </c>
      <c r="F40" s="1249">
        <v>11947.904742999999</v>
      </c>
    </row>
    <row r="41" spans="1:6">
      <c r="A41" s="1248" t="s">
        <v>31</v>
      </c>
      <c r="B41" s="1248" t="s">
        <v>32</v>
      </c>
      <c r="C41" s="1249">
        <v>101</v>
      </c>
      <c r="D41" s="1249">
        <v>2557674.5836</v>
      </c>
      <c r="E41" s="1249">
        <v>245</v>
      </c>
      <c r="F41" s="1249">
        <v>2951900.1082000001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20</v>
      </c>
      <c r="D44" s="1249">
        <v>45568534.464000002</v>
      </c>
      <c r="E44" s="1249">
        <v>57</v>
      </c>
      <c r="F44" s="1249">
        <v>2503925.9635999999</v>
      </c>
    </row>
    <row r="45" spans="1:6">
      <c r="A45" s="1248" t="s">
        <v>31</v>
      </c>
      <c r="B45" s="1248" t="s">
        <v>36</v>
      </c>
      <c r="C45" s="1249">
        <v>0</v>
      </c>
      <c r="D45" s="1249">
        <v>0</v>
      </c>
      <c r="E45" s="1249">
        <v>3</v>
      </c>
      <c r="F45" s="1249">
        <v>78762.418403999996</v>
      </c>
    </row>
    <row r="46" spans="1:6">
      <c r="A46" s="1248" t="s">
        <v>31</v>
      </c>
      <c r="B46" s="1248" t="s">
        <v>37</v>
      </c>
      <c r="C46" s="1249">
        <v>0</v>
      </c>
      <c r="D46" s="1249">
        <v>0</v>
      </c>
      <c r="E46" s="1249">
        <v>0</v>
      </c>
      <c r="F46" s="1249">
        <v>0</v>
      </c>
    </row>
    <row r="47" spans="1:6">
      <c r="A47" s="1248" t="s">
        <v>31</v>
      </c>
      <c r="B47" s="1248" t="s">
        <v>38</v>
      </c>
      <c r="C47" s="1249">
        <v>8</v>
      </c>
      <c r="D47" s="1249">
        <v>289626.12365000002</v>
      </c>
      <c r="E47" s="1249">
        <v>13</v>
      </c>
      <c r="F47" s="1249">
        <v>233700.79738999999</v>
      </c>
    </row>
    <row r="48" spans="1:6">
      <c r="A48" s="1248" t="s">
        <v>31</v>
      </c>
      <c r="B48" s="1248" t="s">
        <v>28</v>
      </c>
      <c r="C48" s="1249">
        <v>43</v>
      </c>
      <c r="D48" s="1249">
        <v>5899460.5757999998</v>
      </c>
      <c r="E48" s="1249">
        <v>53</v>
      </c>
      <c r="F48" s="1249">
        <v>12806311.322000001</v>
      </c>
    </row>
    <row r="49" spans="1:6">
      <c r="A49" s="1248" t="s">
        <v>31</v>
      </c>
      <c r="B49" s="1248" t="s">
        <v>39</v>
      </c>
      <c r="C49" s="1249">
        <v>0</v>
      </c>
      <c r="D49" s="1249">
        <v>0</v>
      </c>
      <c r="E49" s="1249">
        <v>3</v>
      </c>
      <c r="F49" s="1249">
        <v>20685.453208999999</v>
      </c>
    </row>
    <row r="50" spans="1:6">
      <c r="A50" s="1248" t="s">
        <v>31</v>
      </c>
      <c r="B50" s="1248" t="s">
        <v>40</v>
      </c>
      <c r="C50" s="1249">
        <v>10</v>
      </c>
      <c r="D50" s="1249">
        <v>791663.60569999996</v>
      </c>
      <c r="E50" s="1249">
        <v>17</v>
      </c>
      <c r="F50" s="1249">
        <v>515243.78563</v>
      </c>
    </row>
    <row r="51" spans="1:6">
      <c r="A51" s="1248" t="s">
        <v>41</v>
      </c>
      <c r="B51" s="1248" t="s">
        <v>42</v>
      </c>
      <c r="C51" s="1249">
        <v>6</v>
      </c>
      <c r="D51" s="1249">
        <v>67211822.408000007</v>
      </c>
      <c r="E51" s="1249">
        <v>157</v>
      </c>
      <c r="F51" s="1249">
        <v>4929857.9847999997</v>
      </c>
    </row>
    <row r="52" spans="1:6">
      <c r="A52" s="1248" t="s">
        <v>41</v>
      </c>
      <c r="B52" s="1248" t="s">
        <v>28</v>
      </c>
      <c r="C52" s="1249">
        <v>12</v>
      </c>
      <c r="D52" s="1249">
        <v>471088.12462999998</v>
      </c>
      <c r="E52" s="1249">
        <v>13</v>
      </c>
      <c r="F52" s="1249">
        <v>230328.83405</v>
      </c>
    </row>
    <row r="53" spans="1:6">
      <c r="A53" s="1248" t="s">
        <v>43</v>
      </c>
      <c r="B53" s="1248" t="s">
        <v>44</v>
      </c>
      <c r="C53" s="1249">
        <v>120</v>
      </c>
      <c r="D53" s="1249">
        <v>2309871.7979000001</v>
      </c>
      <c r="E53" s="1249">
        <v>281</v>
      </c>
      <c r="F53" s="1249">
        <v>1187693.6429999999</v>
      </c>
    </row>
    <row r="54" spans="1:6">
      <c r="A54" s="1248" t="s">
        <v>45</v>
      </c>
      <c r="B54" s="1248" t="s">
        <v>46</v>
      </c>
      <c r="C54" s="1249">
        <v>0</v>
      </c>
      <c r="D54" s="1249">
        <v>0</v>
      </c>
      <c r="E54" s="1249">
        <v>2</v>
      </c>
      <c r="F54" s="1249">
        <v>1995757.6979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79</v>
      </c>
      <c r="D57" s="1249">
        <v>9269110.1809</v>
      </c>
      <c r="E57" s="1249">
        <v>171</v>
      </c>
      <c r="F57" s="1249">
        <v>2951264.7078</v>
      </c>
    </row>
    <row r="58" spans="1:6">
      <c r="A58" s="1248" t="s">
        <v>48</v>
      </c>
      <c r="B58" s="1248" t="s">
        <v>50</v>
      </c>
      <c r="C58" s="1249">
        <v>44</v>
      </c>
      <c r="D58" s="1249">
        <v>910575.80405999999</v>
      </c>
      <c r="E58" s="1249">
        <v>60</v>
      </c>
      <c r="F58" s="1249">
        <v>405225.47551999998</v>
      </c>
    </row>
    <row r="59" spans="1:6">
      <c r="A59" s="1248" t="s">
        <v>48</v>
      </c>
      <c r="B59" s="1248" t="s">
        <v>51</v>
      </c>
      <c r="C59" s="1249">
        <v>95</v>
      </c>
      <c r="D59" s="1249">
        <v>3943106.3243999998</v>
      </c>
      <c r="E59" s="1249">
        <v>249</v>
      </c>
      <c r="F59" s="1249">
        <v>7443950.6139000002</v>
      </c>
    </row>
    <row r="60" spans="1:6">
      <c r="A60" s="1248" t="s">
        <v>48</v>
      </c>
      <c r="B60" s="1248" t="s">
        <v>52</v>
      </c>
      <c r="C60" s="1249">
        <v>69</v>
      </c>
      <c r="D60" s="1249">
        <v>2995912.2121000001</v>
      </c>
      <c r="E60" s="1249">
        <v>94</v>
      </c>
      <c r="F60" s="1249">
        <v>2359575.3202999998</v>
      </c>
    </row>
    <row r="61" spans="1:6">
      <c r="A61" s="1248" t="s">
        <v>48</v>
      </c>
      <c r="B61" s="1248" t="s">
        <v>53</v>
      </c>
      <c r="C61" s="1249">
        <v>151</v>
      </c>
      <c r="D61" s="1249">
        <v>5163552.7704999996</v>
      </c>
      <c r="E61" s="1249">
        <v>341</v>
      </c>
      <c r="F61" s="1249">
        <v>5576193.6005999995</v>
      </c>
    </row>
    <row r="62" spans="1:6">
      <c r="A62" s="1248" t="s">
        <v>48</v>
      </c>
      <c r="B62" s="1248" t="s">
        <v>54</v>
      </c>
      <c r="C62" s="1249">
        <v>8</v>
      </c>
      <c r="D62" s="1249">
        <v>1508715.5870000001</v>
      </c>
      <c r="E62" s="1249">
        <v>12</v>
      </c>
      <c r="F62" s="1249">
        <v>198954.18353000001</v>
      </c>
    </row>
    <row r="63" spans="1:6">
      <c r="A63" s="1248" t="s">
        <v>48</v>
      </c>
      <c r="B63" s="1248" t="s">
        <v>28</v>
      </c>
      <c r="C63" s="1249">
        <v>142</v>
      </c>
      <c r="D63" s="1249">
        <v>7081392.2402999997</v>
      </c>
      <c r="E63" s="1249">
        <v>152</v>
      </c>
      <c r="F63" s="1249">
        <v>5728983.6063999999</v>
      </c>
    </row>
    <row r="64" spans="1:6">
      <c r="A64" s="1248" t="s">
        <v>55</v>
      </c>
      <c r="B64" s="1248" t="s">
        <v>56</v>
      </c>
      <c r="C64" s="1249">
        <v>0</v>
      </c>
      <c r="D64" s="1249">
        <v>0</v>
      </c>
      <c r="E64" s="1249">
        <v>0</v>
      </c>
      <c r="F64" s="1249">
        <v>0</v>
      </c>
    </row>
    <row r="65" spans="1:6">
      <c r="A65" s="1248" t="s">
        <v>55</v>
      </c>
      <c r="B65" s="1248" t="s">
        <v>28</v>
      </c>
      <c r="C65" s="1249">
        <v>4</v>
      </c>
      <c r="D65" s="1249">
        <v>86386.020019999996</v>
      </c>
      <c r="E65" s="1249">
        <v>2</v>
      </c>
      <c r="F65" s="1249">
        <v>10576.697920000001</v>
      </c>
    </row>
    <row r="66" spans="1:6">
      <c r="A66" s="1248" t="s">
        <v>55</v>
      </c>
      <c r="B66" s="1248" t="s">
        <v>57</v>
      </c>
      <c r="C66" s="1249">
        <v>0</v>
      </c>
      <c r="D66" s="1249">
        <v>0</v>
      </c>
      <c r="E66" s="1249">
        <v>6</v>
      </c>
      <c r="F66" s="1249">
        <v>64772</v>
      </c>
    </row>
    <row r="67" spans="1:6">
      <c r="A67" s="1248" t="s">
        <v>55</v>
      </c>
      <c r="B67" s="1248" t="s">
        <v>58</v>
      </c>
      <c r="C67" s="1249">
        <v>0</v>
      </c>
      <c r="D67" s="1249">
        <v>0</v>
      </c>
      <c r="E67" s="1249">
        <v>0</v>
      </c>
      <c r="F67" s="1249">
        <v>0</v>
      </c>
    </row>
    <row r="68" spans="1:6">
      <c r="A68" s="1243" t="s">
        <v>55</v>
      </c>
      <c r="B68" s="1243" t="s">
        <v>59</v>
      </c>
      <c r="C68" s="1251">
        <v>7</v>
      </c>
      <c r="D68" s="1251">
        <v>171215.37343000001</v>
      </c>
      <c r="E68" s="1251">
        <v>16</v>
      </c>
      <c r="F68" s="1251">
        <v>426388.63108999998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72843584</v>
      </c>
      <c r="E73" s="439"/>
      <c r="F73" s="322"/>
    </row>
    <row r="74" spans="1:6">
      <c r="A74" s="1248" t="s">
        <v>63</v>
      </c>
      <c r="B74" s="1248" t="s">
        <v>626</v>
      </c>
      <c r="C74" s="1261" t="s">
        <v>628</v>
      </c>
      <c r="D74" s="1249">
        <v>8108425.3105274299</v>
      </c>
      <c r="E74" s="439"/>
      <c r="F74" s="322"/>
    </row>
    <row r="75" spans="1:6">
      <c r="A75" s="1248" t="s">
        <v>64</v>
      </c>
      <c r="B75" s="1248" t="s">
        <v>625</v>
      </c>
      <c r="C75" s="1261" t="s">
        <v>629</v>
      </c>
      <c r="D75" s="1249">
        <v>24515299</v>
      </c>
      <c r="E75" s="439"/>
      <c r="F75" s="322"/>
    </row>
    <row r="76" spans="1:6">
      <c r="A76" s="1248" t="s">
        <v>64</v>
      </c>
      <c r="B76" s="1248" t="s">
        <v>626</v>
      </c>
      <c r="C76" s="1261" t="s">
        <v>630</v>
      </c>
      <c r="D76" s="1249">
        <v>923928.31052742968</v>
      </c>
      <c r="E76" s="439"/>
      <c r="F76" s="322"/>
    </row>
    <row r="77" spans="1:6">
      <c r="A77" s="1248" t="s">
        <v>65</v>
      </c>
      <c r="B77" s="1248" t="s">
        <v>625</v>
      </c>
      <c r="C77" s="1261" t="s">
        <v>631</v>
      </c>
      <c r="D77" s="1249">
        <v>109196097</v>
      </c>
      <c r="E77" s="439"/>
      <c r="F77" s="322"/>
    </row>
    <row r="78" spans="1:6">
      <c r="A78" s="1243" t="s">
        <v>65</v>
      </c>
      <c r="B78" s="1243" t="s">
        <v>626</v>
      </c>
      <c r="C78" s="1243" t="s">
        <v>632</v>
      </c>
      <c r="D78" s="1251">
        <v>16082945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528405.37894514052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3174.9323310401801</v>
      </c>
      <c r="C90" s="322"/>
      <c r="D90" s="322"/>
      <c r="E90" s="322"/>
      <c r="F90" s="322"/>
    </row>
    <row r="91" spans="1:6">
      <c r="A91" s="1248" t="s">
        <v>67</v>
      </c>
      <c r="B91" s="1249">
        <v>5682.0720227254033</v>
      </c>
      <c r="C91" s="322"/>
      <c r="D91" s="322"/>
      <c r="E91" s="322"/>
      <c r="F91" s="322"/>
    </row>
    <row r="92" spans="1:6">
      <c r="A92" s="1243" t="s">
        <v>68</v>
      </c>
      <c r="B92" s="1244">
        <v>4975.086643349925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3156</v>
      </c>
      <c r="C97" s="322"/>
      <c r="D97" s="322"/>
      <c r="E97" s="322"/>
      <c r="F97" s="322"/>
    </row>
    <row r="98" spans="1:6">
      <c r="A98" s="1248" t="s">
        <v>71</v>
      </c>
      <c r="B98" s="1249">
        <v>0</v>
      </c>
      <c r="C98" s="322"/>
      <c r="D98" s="322"/>
      <c r="E98" s="322"/>
      <c r="F98" s="322"/>
    </row>
    <row r="99" spans="1:6">
      <c r="A99" s="1248" t="s">
        <v>72</v>
      </c>
      <c r="B99" s="1249">
        <v>227</v>
      </c>
      <c r="C99" s="322"/>
      <c r="D99" s="322"/>
      <c r="E99" s="322"/>
      <c r="F99" s="322"/>
    </row>
    <row r="100" spans="1:6">
      <c r="A100" s="1248" t="s">
        <v>73</v>
      </c>
      <c r="B100" s="1249">
        <v>950</v>
      </c>
      <c r="C100" s="322"/>
      <c r="D100" s="322"/>
      <c r="E100" s="322"/>
      <c r="F100" s="322"/>
    </row>
    <row r="101" spans="1:6">
      <c r="A101" s="1248" t="s">
        <v>74</v>
      </c>
      <c r="B101" s="1249">
        <v>226</v>
      </c>
      <c r="C101" s="322"/>
      <c r="D101" s="322"/>
      <c r="E101" s="322"/>
      <c r="F101" s="322"/>
    </row>
    <row r="102" spans="1:6">
      <c r="A102" s="1248" t="s">
        <v>75</v>
      </c>
      <c r="B102" s="1249">
        <v>152</v>
      </c>
      <c r="C102" s="322"/>
      <c r="D102" s="322"/>
      <c r="E102" s="322"/>
      <c r="F102" s="322"/>
    </row>
    <row r="103" spans="1:6">
      <c r="A103" s="1248" t="s">
        <v>76</v>
      </c>
      <c r="B103" s="1249">
        <v>284</v>
      </c>
      <c r="C103" s="322"/>
      <c r="D103" s="322"/>
      <c r="E103" s="322"/>
      <c r="F103" s="322"/>
    </row>
    <row r="104" spans="1:6">
      <c r="A104" s="1248" t="s">
        <v>77</v>
      </c>
      <c r="B104" s="1249">
        <v>3125</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4</v>
      </c>
      <c r="C121" s="1249">
        <v>0</v>
      </c>
      <c r="D121" s="322"/>
      <c r="E121" s="322"/>
      <c r="F121" s="322"/>
    </row>
    <row r="122" spans="1:6">
      <c r="A122" s="1248" t="s">
        <v>86</v>
      </c>
      <c r="B122" s="1249">
        <v>0</v>
      </c>
      <c r="C122" s="1249">
        <v>0</v>
      </c>
      <c r="D122" s="322"/>
      <c r="E122" s="322"/>
      <c r="F122" s="322"/>
    </row>
    <row r="123" spans="1:6">
      <c r="A123" s="1248" t="s">
        <v>87</v>
      </c>
      <c r="B123" s="1249">
        <v>34</v>
      </c>
      <c r="C123" s="1249">
        <v>29</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290</v>
      </c>
      <c r="C129" s="322"/>
      <c r="D129" s="322"/>
      <c r="E129" s="322"/>
      <c r="F129" s="322"/>
    </row>
    <row r="130" spans="1:6">
      <c r="A130" s="1248" t="s">
        <v>284</v>
      </c>
      <c r="B130" s="1249">
        <v>2</v>
      </c>
      <c r="C130" s="322"/>
      <c r="D130" s="322"/>
      <c r="E130" s="322"/>
      <c r="F130" s="322"/>
    </row>
    <row r="131" spans="1:6">
      <c r="A131" s="1248" t="s">
        <v>285</v>
      </c>
      <c r="B131" s="1249">
        <v>3</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95091.844170638869</v>
      </c>
      <c r="C3" s="43" t="s">
        <v>163</v>
      </c>
      <c r="D3" s="43"/>
      <c r="E3" s="153"/>
      <c r="F3" s="43"/>
      <c r="G3" s="43"/>
      <c r="H3" s="43"/>
      <c r="I3" s="43"/>
      <c r="J3" s="43"/>
      <c r="K3" s="96"/>
    </row>
    <row r="4" spans="1:11">
      <c r="A4" s="348" t="s">
        <v>164</v>
      </c>
      <c r="B4" s="49">
        <f>IF(ISERROR('SEAP template'!B78+'SEAP template'!C78),0,'SEAP template'!B78+'SEAP template'!C78)</f>
        <v>32736.590997115505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4492.5988235294126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0.19216274470487338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6417.9983193277312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27006.428571428572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1995.7576979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1995.7576979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0.19216274470487338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383.51027699434354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37225.523890743003</v>
      </c>
      <c r="C5" s="17">
        <f>IF(ISERROR('Eigen informatie GS &amp; warmtenet'!B57),0,'Eigen informatie GS &amp; warmtenet'!B57)</f>
        <v>0</v>
      </c>
      <c r="D5" s="30">
        <f>(SUM(HH_hh_gas_kWh,HH_rest_gas_kWh)/1000)*0.902</f>
        <v>73772.16331740201</v>
      </c>
      <c r="E5" s="17">
        <f>B32*B41</f>
        <v>2051.7057067794053</v>
      </c>
      <c r="F5" s="17">
        <f>B36*B45</f>
        <v>55781.817079236716</v>
      </c>
      <c r="G5" s="18"/>
      <c r="H5" s="17"/>
      <c r="I5" s="17"/>
      <c r="J5" s="17">
        <f>B35*B44+C35*C44</f>
        <v>1028.7163402238345</v>
      </c>
      <c r="K5" s="17"/>
      <c r="L5" s="17"/>
      <c r="M5" s="17"/>
      <c r="N5" s="17">
        <f>B34*B43+C34*C43</f>
        <v>11950.950122881242</v>
      </c>
      <c r="O5" s="17">
        <f>B52*B53*B54</f>
        <v>500.26666666666665</v>
      </c>
      <c r="P5" s="17">
        <f>B60*B61*B62/1000-B60*B61*B62/1000/B63</f>
        <v>934.26666666666665</v>
      </c>
    </row>
    <row r="6" spans="1:16">
      <c r="A6" s="16" t="s">
        <v>586</v>
      </c>
      <c r="B6" s="716">
        <f>kWh_PV_kleiner_dan_10kW</f>
        <v>5682.0720227254033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42907.595913468409</v>
      </c>
      <c r="C8" s="21">
        <f>C5</f>
        <v>0</v>
      </c>
      <c r="D8" s="21">
        <f>D5</f>
        <v>73772.16331740201</v>
      </c>
      <c r="E8" s="21">
        <f>E5</f>
        <v>2051.7057067794053</v>
      </c>
      <c r="F8" s="21">
        <f>F5</f>
        <v>55781.817079236716</v>
      </c>
      <c r="G8" s="21"/>
      <c r="H8" s="21"/>
      <c r="I8" s="21"/>
      <c r="J8" s="21">
        <f>J5</f>
        <v>1028.7163402238345</v>
      </c>
      <c r="K8" s="21"/>
      <c r="L8" s="21">
        <f>L5</f>
        <v>0</v>
      </c>
      <c r="M8" s="21">
        <f>M5</f>
        <v>0</v>
      </c>
      <c r="N8" s="21">
        <f>N5</f>
        <v>11950.950122881242</v>
      </c>
      <c r="O8" s="21">
        <f>O5</f>
        <v>500.26666666666665</v>
      </c>
      <c r="P8" s="21">
        <f>P5</f>
        <v>934.26666666666665</v>
      </c>
    </row>
    <row r="9" spans="1:16">
      <c r="B9" s="19"/>
      <c r="C9" s="19"/>
      <c r="D9" s="253"/>
      <c r="E9" s="19"/>
      <c r="F9" s="19"/>
      <c r="G9" s="19"/>
      <c r="H9" s="19"/>
      <c r="I9" s="19"/>
      <c r="J9" s="19"/>
      <c r="K9" s="19"/>
      <c r="L9" s="19"/>
      <c r="M9" s="19"/>
      <c r="N9" s="19"/>
      <c r="O9" s="19"/>
      <c r="P9" s="19"/>
    </row>
    <row r="10" spans="1:16">
      <c r="A10" s="24" t="s">
        <v>207</v>
      </c>
      <c r="B10" s="25">
        <f ca="1">'EF ele_warmte'!B12</f>
        <v>0.19216274470487338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8245.2413994196977</v>
      </c>
      <c r="C12" s="23">
        <f ca="1">C10*C8</f>
        <v>0</v>
      </c>
      <c r="D12" s="23">
        <f>D8*D10</f>
        <v>14901.976990115207</v>
      </c>
      <c r="E12" s="23">
        <f>E10*E8</f>
        <v>465.73719543892503</v>
      </c>
      <c r="F12" s="23">
        <f>F10*F8</f>
        <v>14893.745160156204</v>
      </c>
      <c r="G12" s="23"/>
      <c r="H12" s="23"/>
      <c r="I12" s="23"/>
      <c r="J12" s="23">
        <f>J10*J8</f>
        <v>364.16558443923742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9031</v>
      </c>
      <c r="C26" s="36"/>
      <c r="D26" s="224"/>
    </row>
    <row r="27" spans="1:5" s="15" customFormat="1">
      <c r="A27" s="226" t="s">
        <v>655</v>
      </c>
      <c r="B27" s="37">
        <f>SUM(HH_hh_gas_aantal,HH_rest_gas_aantal)</f>
        <v>5354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5086.3</v>
      </c>
      <c r="C31" s="34" t="s">
        <v>104</v>
      </c>
      <c r="D31" s="170"/>
    </row>
    <row r="32" spans="1:5">
      <c r="A32" s="167" t="s">
        <v>72</v>
      </c>
      <c r="B32" s="33">
        <f>IF((B21*($B$26-($B$27-0.05*$B$27)-$B$60))&lt;0,0,B21*($B$26-($B$27-0.05*$B$27)-$B$60))</f>
        <v>25.140614906289251</v>
      </c>
      <c r="C32" s="34" t="s">
        <v>104</v>
      </c>
      <c r="D32" s="170"/>
    </row>
    <row r="33" spans="1:6">
      <c r="A33" s="167" t="s">
        <v>73</v>
      </c>
      <c r="B33" s="33">
        <f>IF((B22*($B$26-($B$27-0.05*$B$27)-$B$60))&lt;0,0,B22*($B$26-($B$27-0.05*$B$27)-$B$60))</f>
        <v>875.48753971331973</v>
      </c>
      <c r="C33" s="34" t="s">
        <v>104</v>
      </c>
      <c r="D33" s="170"/>
    </row>
    <row r="34" spans="1:6">
      <c r="A34" s="167" t="s">
        <v>74</v>
      </c>
      <c r="B34" s="33">
        <f>IF((B24*($B$26-($B$27-0.05*$B$27)-$B$60))&lt;0,0,B24*($B$26-($B$27-0.05*$B$27)-$B$60))</f>
        <v>173.85388522105322</v>
      </c>
      <c r="C34" s="33">
        <f>B26*C24</f>
        <v>1848.3055961403472</v>
      </c>
      <c r="D34" s="229"/>
    </row>
    <row r="35" spans="1:6">
      <c r="A35" s="167" t="s">
        <v>76</v>
      </c>
      <c r="B35" s="33">
        <f>IF((B19*($B$26-($B$27-0.05*$B$27)-$B$60))&lt;0,0,B19*($B$26-($B$27-0.05*$B$27)-$B$60))</f>
        <v>84.90160994820863</v>
      </c>
      <c r="C35" s="33">
        <f>B35/2</f>
        <v>42.450804974104315</v>
      </c>
      <c r="D35" s="229"/>
    </row>
    <row r="36" spans="1:6">
      <c r="A36" s="167" t="s">
        <v>77</v>
      </c>
      <c r="B36" s="33">
        <f>IF((B18*($B$26-($B$27-0.05*$B$27)-$B$60))&lt;0,0,B18*($B$26-($B$27-0.05*$B$27)-$B$60))</f>
        <v>2736.3163502111302</v>
      </c>
      <c r="C36" s="34" t="s">
        <v>104</v>
      </c>
      <c r="D36" s="170"/>
    </row>
    <row r="37" spans="1:6">
      <c r="A37" s="167" t="s">
        <v>78</v>
      </c>
      <c r="B37" s="33">
        <f>B60</f>
        <v>49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320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24664.147508050002</v>
      </c>
      <c r="C5" s="17">
        <f>IF(ISERROR('Eigen informatie GS &amp; warmtenet'!B58),0,'Eigen informatie GS &amp; warmtenet'!B58)</f>
        <v>0</v>
      </c>
      <c r="D5" s="30">
        <f>SUM(D6:D12)</f>
        <v>27846.873337572521</v>
      </c>
      <c r="E5" s="17">
        <f>SUM(E6:E12)</f>
        <v>391.55181043174366</v>
      </c>
      <c r="F5" s="17">
        <f>SUM(F6:F12)</f>
        <v>5711.7630854478903</v>
      </c>
      <c r="G5" s="18"/>
      <c r="H5" s="17"/>
      <c r="I5" s="17"/>
      <c r="J5" s="17">
        <f>SUM(J6:J12)</f>
        <v>4.8294726745327712E-2</v>
      </c>
      <c r="K5" s="17"/>
      <c r="L5" s="17"/>
      <c r="M5" s="17"/>
      <c r="N5" s="17">
        <f>SUM(N6:N12)</f>
        <v>1711.8178674271564</v>
      </c>
      <c r="O5" s="17">
        <f>B38*B39*B40</f>
        <v>3.1266666666666669</v>
      </c>
      <c r="P5" s="17">
        <f>B46*B47*B48/1000-B46*B47*B48/1000/B49</f>
        <v>133.46666666666667</v>
      </c>
      <c r="R5" s="32"/>
    </row>
    <row r="6" spans="1:18">
      <c r="A6" s="32" t="s">
        <v>53</v>
      </c>
      <c r="B6" s="37">
        <f>B26</f>
        <v>5576.1936005999996</v>
      </c>
      <c r="C6" s="33"/>
      <c r="D6" s="37">
        <f>IF(ISERROR(TER_kantoor_gas_kWh/1000),0,TER_kantoor_gas_kWh/1000)*0.902</f>
        <v>4657.5245989909999</v>
      </c>
      <c r="E6" s="33">
        <f>$C$26*'E Balans VL '!I12/100/3.6*1000000</f>
        <v>3.1746195047553315E-18</v>
      </c>
      <c r="F6" s="33">
        <f>$C$26*('E Balans VL '!L12+'E Balans VL '!N12)/100/3.6*1000000</f>
        <v>753.80949484991982</v>
      </c>
      <c r="G6" s="34"/>
      <c r="H6" s="33"/>
      <c r="I6" s="33"/>
      <c r="J6" s="33">
        <f>$C$26*('E Balans VL '!D12+'E Balans VL '!E12)/100/3.6*1000000</f>
        <v>0</v>
      </c>
      <c r="K6" s="33"/>
      <c r="L6" s="33"/>
      <c r="M6" s="33"/>
      <c r="N6" s="33">
        <f>$C$26*'E Balans VL '!Y12/100/3.6*1000000</f>
        <v>7.0081423228200874</v>
      </c>
      <c r="O6" s="33"/>
      <c r="P6" s="33"/>
      <c r="R6" s="32"/>
    </row>
    <row r="7" spans="1:18">
      <c r="A7" s="32" t="s">
        <v>52</v>
      </c>
      <c r="B7" s="37">
        <f t="shared" ref="B7:B12" si="0">B27</f>
        <v>2359.5753202999999</v>
      </c>
      <c r="C7" s="33"/>
      <c r="D7" s="37">
        <f>IF(ISERROR(TER_horeca_gas_kWh/1000),0,TER_horeca_gas_kWh/1000)*0.902</f>
        <v>2702.3128153142002</v>
      </c>
      <c r="E7" s="33">
        <f>$C$27*'E Balans VL '!I9/100/3.6*1000000</f>
        <v>30.136578123683602</v>
      </c>
      <c r="F7" s="33">
        <f>$C$27*('E Balans VL '!L9+'E Balans VL '!N9)/100/3.6*1000000</f>
        <v>266.5034304535418</v>
      </c>
      <c r="G7" s="34"/>
      <c r="H7" s="33"/>
      <c r="I7" s="33"/>
      <c r="J7" s="33">
        <f>$C$27*('E Balans VL '!D9+'E Balans VL '!E9)/100/3.6*1000000</f>
        <v>0</v>
      </c>
      <c r="K7" s="33"/>
      <c r="L7" s="33"/>
      <c r="M7" s="33"/>
      <c r="N7" s="33">
        <f>$C$27*'E Balans VL '!Y9/100/3.6*1000000</f>
        <v>0.56229681466182635</v>
      </c>
      <c r="O7" s="33"/>
      <c r="P7" s="33"/>
      <c r="R7" s="32"/>
    </row>
    <row r="8" spans="1:18">
      <c r="A8" s="6" t="s">
        <v>51</v>
      </c>
      <c r="B8" s="37">
        <f t="shared" si="0"/>
        <v>7443.9506139000005</v>
      </c>
      <c r="C8" s="33"/>
      <c r="D8" s="37">
        <f>IF(ISERROR(TER_handel_gas_kWh/1000),0,TER_handel_gas_kWh/1000)*0.902</f>
        <v>3556.6819046087999</v>
      </c>
      <c r="E8" s="33">
        <f>$C$28*'E Balans VL '!I13/100/3.6*1000000</f>
        <v>243.10734467001004</v>
      </c>
      <c r="F8" s="33">
        <f>$C$28*('E Balans VL '!L13+'E Balans VL '!N13)/100/3.6*1000000</f>
        <v>1288.8595655017505</v>
      </c>
      <c r="G8" s="34"/>
      <c r="H8" s="33"/>
      <c r="I8" s="33"/>
      <c r="J8" s="33">
        <f>$C$28*('E Balans VL '!D13+'E Balans VL '!E13)/100/3.6*1000000</f>
        <v>0</v>
      </c>
      <c r="K8" s="33"/>
      <c r="L8" s="33"/>
      <c r="M8" s="33"/>
      <c r="N8" s="33">
        <f>$C$28*'E Balans VL '!Y13/100/3.6*1000000</f>
        <v>8.7613233787488127</v>
      </c>
      <c r="O8" s="33"/>
      <c r="P8" s="33"/>
      <c r="R8" s="32"/>
    </row>
    <row r="9" spans="1:18">
      <c r="A9" s="32" t="s">
        <v>50</v>
      </c>
      <c r="B9" s="37">
        <f t="shared" si="0"/>
        <v>405.22547551999997</v>
      </c>
      <c r="C9" s="33"/>
      <c r="D9" s="37">
        <f>IF(ISERROR(TER_gezond_gas_kWh/1000),0,TER_gezond_gas_kWh/1000)*0.902</f>
        <v>821.33937526212003</v>
      </c>
      <c r="E9" s="33">
        <f>$C$29*'E Balans VL '!I10/100/3.6*1000000</f>
        <v>2.2628808757004102E-2</v>
      </c>
      <c r="F9" s="33">
        <f>$C$29*('E Balans VL '!L10+'E Balans VL '!N10)/100/3.6*1000000</f>
        <v>53.690868010557331</v>
      </c>
      <c r="G9" s="34"/>
      <c r="H9" s="33"/>
      <c r="I9" s="33"/>
      <c r="J9" s="33">
        <f>$C$29*('E Balans VL '!D10+'E Balans VL '!E10)/100/3.6*1000000</f>
        <v>0</v>
      </c>
      <c r="K9" s="33"/>
      <c r="L9" s="33"/>
      <c r="M9" s="33"/>
      <c r="N9" s="33">
        <f>$C$29*'E Balans VL '!Y10/100/3.6*1000000</f>
        <v>4.2951176757905323</v>
      </c>
      <c r="O9" s="33"/>
      <c r="P9" s="33"/>
      <c r="R9" s="32"/>
    </row>
    <row r="10" spans="1:18">
      <c r="A10" s="32" t="s">
        <v>49</v>
      </c>
      <c r="B10" s="37">
        <f t="shared" si="0"/>
        <v>2951.2647078</v>
      </c>
      <c r="C10" s="33"/>
      <c r="D10" s="37">
        <f>IF(ISERROR(TER_ander_gas_kWh/1000),0,TER_ander_gas_kWh/1000)*0.902</f>
        <v>8360.7373831717996</v>
      </c>
      <c r="E10" s="33">
        <f>$C$30*'E Balans VL '!I14/100/3.6*1000000</f>
        <v>38.110936037460419</v>
      </c>
      <c r="F10" s="33">
        <f>$C$30*('E Balans VL '!L14+'E Balans VL '!N14)/100/3.6*1000000</f>
        <v>1948.045212364181</v>
      </c>
      <c r="G10" s="34"/>
      <c r="H10" s="33"/>
      <c r="I10" s="33"/>
      <c r="J10" s="33">
        <f>$C$30*('E Balans VL '!D14+'E Balans VL '!E14)/100/3.6*1000000</f>
        <v>3.5752253274458232E-2</v>
      </c>
      <c r="K10" s="33"/>
      <c r="L10" s="33"/>
      <c r="M10" s="33"/>
      <c r="N10" s="33">
        <f>$C$30*'E Balans VL '!Y14/100/3.6*1000000</f>
        <v>1244.5363110029029</v>
      </c>
      <c r="O10" s="33"/>
      <c r="P10" s="33"/>
      <c r="R10" s="32"/>
    </row>
    <row r="11" spans="1:18">
      <c r="A11" s="32" t="s">
        <v>54</v>
      </c>
      <c r="B11" s="37">
        <f t="shared" si="0"/>
        <v>198.95418353000002</v>
      </c>
      <c r="C11" s="33"/>
      <c r="D11" s="37">
        <f>IF(ISERROR(TER_onderwijs_gas_kWh/1000),0,TER_onderwijs_gas_kWh/1000)*0.902</f>
        <v>1360.8614594740002</v>
      </c>
      <c r="E11" s="33">
        <f>$C$31*'E Balans VL '!I11/100/3.6*1000000</f>
        <v>2.6774297529710167</v>
      </c>
      <c r="F11" s="33">
        <f>$C$31*('E Balans VL '!L11+'E Balans VL '!N11)/100/3.6*1000000</f>
        <v>31.092017520840091</v>
      </c>
      <c r="G11" s="34"/>
      <c r="H11" s="33"/>
      <c r="I11" s="33"/>
      <c r="J11" s="33">
        <f>$C$31*('E Balans VL '!D11+'E Balans VL '!E11)/100/3.6*1000000</f>
        <v>0</v>
      </c>
      <c r="K11" s="33"/>
      <c r="L11" s="33"/>
      <c r="M11" s="33"/>
      <c r="N11" s="33">
        <f>$C$31*'E Balans VL '!Y11/100/3.6*1000000</f>
        <v>0.45939463728355601</v>
      </c>
      <c r="O11" s="33"/>
      <c r="P11" s="33"/>
      <c r="R11" s="32"/>
    </row>
    <row r="12" spans="1:18">
      <c r="A12" s="32" t="s">
        <v>249</v>
      </c>
      <c r="B12" s="37">
        <f t="shared" si="0"/>
        <v>5728.9836064000001</v>
      </c>
      <c r="C12" s="33"/>
      <c r="D12" s="37">
        <f>IF(ISERROR(TER_rest_gas_kWh/1000),0,TER_rest_gas_kWh/1000)*0.902</f>
        <v>6387.4158007506003</v>
      </c>
      <c r="E12" s="33">
        <f>$C$32*'E Balans VL '!I8/100/3.6*1000000</f>
        <v>77.496893038861572</v>
      </c>
      <c r="F12" s="33">
        <f>$C$32*('E Balans VL '!L8+'E Balans VL '!N8)/100/3.6*1000000</f>
        <v>1369.762496747099</v>
      </c>
      <c r="G12" s="34"/>
      <c r="H12" s="33"/>
      <c r="I12" s="33"/>
      <c r="J12" s="33">
        <f>$C$32*('E Balans VL '!D8+'E Balans VL '!E8)/100/3.6*1000000</f>
        <v>1.2542473470869482E-2</v>
      </c>
      <c r="K12" s="33"/>
      <c r="L12" s="33"/>
      <c r="M12" s="33"/>
      <c r="N12" s="33">
        <f>$C$32*'E Balans VL '!Y8/100/3.6*1000000</f>
        <v>446.19528159494865</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24664.147508050002</v>
      </c>
      <c r="C16" s="21">
        <f t="shared" ca="1" si="1"/>
        <v>0</v>
      </c>
      <c r="D16" s="21">
        <f t="shared" ca="1" si="1"/>
        <v>27846.873337572521</v>
      </c>
      <c r="E16" s="21">
        <f t="shared" si="1"/>
        <v>391.55181043174366</v>
      </c>
      <c r="F16" s="21">
        <f t="shared" ca="1" si="1"/>
        <v>5711.7630854478903</v>
      </c>
      <c r="G16" s="21">
        <f t="shared" si="1"/>
        <v>0</v>
      </c>
      <c r="H16" s="21">
        <f t="shared" si="1"/>
        <v>0</v>
      </c>
      <c r="I16" s="21">
        <f t="shared" si="1"/>
        <v>0</v>
      </c>
      <c r="J16" s="21">
        <f t="shared" si="1"/>
        <v>4.8294726745327712E-2</v>
      </c>
      <c r="K16" s="21">
        <f t="shared" si="1"/>
        <v>0</v>
      </c>
      <c r="L16" s="21">
        <f t="shared" ca="1" si="1"/>
        <v>0</v>
      </c>
      <c r="M16" s="21">
        <f t="shared" si="1"/>
        <v>0</v>
      </c>
      <c r="N16" s="21">
        <f t="shared" ca="1" si="1"/>
        <v>1711.8178674271564</v>
      </c>
      <c r="O16" s="21">
        <f>O5</f>
        <v>3.1266666666666669</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0.19216274470487338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4739.5302809527511</v>
      </c>
      <c r="C20" s="23">
        <f t="shared" ref="C20:P20" ca="1" si="2">C16*C18</f>
        <v>0</v>
      </c>
      <c r="D20" s="23">
        <f t="shared" ca="1" si="2"/>
        <v>5625.06841418965</v>
      </c>
      <c r="E20" s="23">
        <f t="shared" si="2"/>
        <v>88.882260968005809</v>
      </c>
      <c r="F20" s="23">
        <f t="shared" ca="1" si="2"/>
        <v>1525.0407438145867</v>
      </c>
      <c r="G20" s="23">
        <f t="shared" si="2"/>
        <v>0</v>
      </c>
      <c r="H20" s="23">
        <f t="shared" si="2"/>
        <v>0</v>
      </c>
      <c r="I20" s="23">
        <f t="shared" si="2"/>
        <v>0</v>
      </c>
      <c r="J20" s="23">
        <f t="shared" si="2"/>
        <v>1.7096333267846011E-2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5576.1936005999996</v>
      </c>
      <c r="C26" s="39">
        <f>IF(ISERROR(B26*3.6/1000000/'E Balans VL '!Z12*100),0,B26*3.6/1000000/'E Balans VL '!Z12*100)</f>
        <v>0.14961602900475526</v>
      </c>
      <c r="D26" s="232" t="s">
        <v>621</v>
      </c>
      <c r="F26" s="6"/>
    </row>
    <row r="27" spans="1:18">
      <c r="A27" s="227" t="s">
        <v>52</v>
      </c>
      <c r="B27" s="33">
        <f>IF(ISERROR(TER_horeca_ele_kWh/1000),0,TER_horeca_ele_kWh/1000)</f>
        <v>2359.5753202999999</v>
      </c>
      <c r="C27" s="39">
        <f>IF(ISERROR(B27*3.6/1000000/'E Balans VL '!Z9*100),0,B27*3.6/1000000/'E Balans VL '!Z9*100)</f>
        <v>0.1874517771263173</v>
      </c>
      <c r="D27" s="232" t="s">
        <v>621</v>
      </c>
      <c r="F27" s="6"/>
    </row>
    <row r="28" spans="1:18">
      <c r="A28" s="167" t="s">
        <v>51</v>
      </c>
      <c r="B28" s="33">
        <f>IF(ISERROR(TER_handel_ele_kWh/1000),0,TER_handel_ele_kWh/1000)</f>
        <v>7443.9506139000005</v>
      </c>
      <c r="C28" s="39">
        <f>IF(ISERROR(B28*3.6/1000000/'E Balans VL '!Z13*100),0,B28*3.6/1000000/'E Balans VL '!Z13*100)</f>
        <v>0.21773467514308065</v>
      </c>
      <c r="D28" s="232" t="s">
        <v>621</v>
      </c>
      <c r="F28" s="6"/>
    </row>
    <row r="29" spans="1:18">
      <c r="A29" s="227" t="s">
        <v>50</v>
      </c>
      <c r="B29" s="33">
        <f>IF(ISERROR(TER_gezond_ele_kWh/1000),0,TER_gezond_ele_kWh/1000)</f>
        <v>405.22547551999997</v>
      </c>
      <c r="C29" s="39">
        <f>IF(ISERROR(B29*3.6/1000000/'E Balans VL '!Z10*100),0,B29*3.6/1000000/'E Balans VL '!Z10*100)</f>
        <v>4.3008973171808566E-2</v>
      </c>
      <c r="D29" s="232" t="s">
        <v>621</v>
      </c>
      <c r="F29" s="6"/>
    </row>
    <row r="30" spans="1:18">
      <c r="A30" s="227" t="s">
        <v>49</v>
      </c>
      <c r="B30" s="33">
        <f>IF(ISERROR(TER_ander_ele_kWh/1000),0,TER_ander_ele_kWh/1000)</f>
        <v>2951.2647078</v>
      </c>
      <c r="C30" s="39">
        <f>IF(ISERROR(B30*3.6/1000000/'E Balans VL '!Z14*100),0,B30*3.6/1000000/'E Balans VL '!Z14*100)</f>
        <v>0.13727401001285153</v>
      </c>
      <c r="D30" s="232" t="s">
        <v>621</v>
      </c>
      <c r="F30" s="6"/>
    </row>
    <row r="31" spans="1:18">
      <c r="A31" s="227" t="s">
        <v>54</v>
      </c>
      <c r="B31" s="33">
        <f>IF(ISERROR(TER_onderwijs_ele_kWh/1000),0,TER_onderwijs_ele_kWh/1000)</f>
        <v>198.95418353000002</v>
      </c>
      <c r="C31" s="39">
        <f>IF(ISERROR(B31*3.6/1000000/'E Balans VL '!Z11*100),0,B31*3.6/1000000/'E Balans VL '!Z11*100)</f>
        <v>4.9794108670738593E-2</v>
      </c>
      <c r="D31" s="232" t="s">
        <v>621</v>
      </c>
    </row>
    <row r="32" spans="1:18">
      <c r="A32" s="227" t="s">
        <v>249</v>
      </c>
      <c r="B32" s="33">
        <f>IF(ISERROR(TER_rest_ele_kWh/1000),0,TER_rest_ele_kWh/1000)</f>
        <v>5728.9836064000001</v>
      </c>
      <c r="C32" s="39">
        <f>IF(ISERROR(B32*3.6/1000000/'E Balans VL '!Z8*100),0,B32*3.6/1000000/'E Balans VL '!Z8*100)</f>
        <v>4.8157961278935728E-2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19110.529848433001</v>
      </c>
      <c r="C5" s="17">
        <f>IF(ISERROR('Eigen informatie GS &amp; warmtenet'!B59),0,'Eigen informatie GS &amp; warmtenet'!B59)</f>
        <v>0</v>
      </c>
      <c r="D5" s="30">
        <f>SUM(D6:D15)</f>
        <v>49706.477336180506</v>
      </c>
      <c r="E5" s="17">
        <f>SUM(E6:E15)</f>
        <v>1554.2232456608358</v>
      </c>
      <c r="F5" s="17">
        <f>SUM(F6:F15)</f>
        <v>6562.3441237954721</v>
      </c>
      <c r="G5" s="18"/>
      <c r="H5" s="17"/>
      <c r="I5" s="17"/>
      <c r="J5" s="17">
        <f>SUM(J6:J15)</f>
        <v>119.55899782693118</v>
      </c>
      <c r="K5" s="17"/>
      <c r="L5" s="17"/>
      <c r="M5" s="17"/>
      <c r="N5" s="17">
        <f>SUM(N6:N15)</f>
        <v>1327.2174225142371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2503.9259635999997</v>
      </c>
      <c r="C8" s="33"/>
      <c r="D8" s="37">
        <f>IF( ISERROR(IND_metaal_Gas_kWH/1000),0,IND_metaal_Gas_kWH/1000)*0.902</f>
        <v>41102.818086528001</v>
      </c>
      <c r="E8" s="33">
        <f>C30*'E Balans VL '!I18/100/3.6*1000000</f>
        <v>90.098831059854533</v>
      </c>
      <c r="F8" s="33">
        <f>C30*'E Balans VL '!L18/100/3.6*1000000+C30*'E Balans VL '!N18/100/3.6*1000000</f>
        <v>1093.3832997572936</v>
      </c>
      <c r="G8" s="34"/>
      <c r="H8" s="33"/>
      <c r="I8" s="33"/>
      <c r="J8" s="40">
        <f>C30*'E Balans VL '!D18/100/3.6*1000000+C30*'E Balans VL '!E18/100/3.6*1000000</f>
        <v>0</v>
      </c>
      <c r="K8" s="33"/>
      <c r="L8" s="33"/>
      <c r="M8" s="33"/>
      <c r="N8" s="33">
        <f>C30*'E Balans VL '!Y18/100/3.6*1000000</f>
        <v>125.49506769763907</v>
      </c>
      <c r="O8" s="33"/>
      <c r="P8" s="33"/>
      <c r="R8" s="32"/>
    </row>
    <row r="9" spans="1:18">
      <c r="A9" s="6" t="s">
        <v>32</v>
      </c>
      <c r="B9" s="37">
        <f t="shared" si="0"/>
        <v>2951.9001082</v>
      </c>
      <c r="C9" s="33"/>
      <c r="D9" s="37">
        <f>IF( ISERROR(IND_andere_gas_kWh/1000),0,IND_andere_gas_kWh/1000)*0.902</f>
        <v>2307.0224744072002</v>
      </c>
      <c r="E9" s="33">
        <f>C31*'E Balans VL '!I19/100/3.6*1000000</f>
        <v>753.25811900201256</v>
      </c>
      <c r="F9" s="33">
        <f>C31*'E Balans VL '!L19/100/3.6*1000000+C31*'E Balans VL '!N19/100/3.6*1000000</f>
        <v>2541.3641197223701</v>
      </c>
      <c r="G9" s="34"/>
      <c r="H9" s="33"/>
      <c r="I9" s="33"/>
      <c r="J9" s="40">
        <f>C31*'E Balans VL '!D19/100/3.6*1000000+C31*'E Balans VL '!E19/100/3.6*1000000</f>
        <v>0</v>
      </c>
      <c r="K9" s="33"/>
      <c r="L9" s="33"/>
      <c r="M9" s="33"/>
      <c r="N9" s="33">
        <f>C31*'E Balans VL '!Y19/100/3.6*1000000</f>
        <v>232.87037623936743</v>
      </c>
      <c r="O9" s="33"/>
      <c r="P9" s="33"/>
      <c r="R9" s="32"/>
    </row>
    <row r="10" spans="1:18">
      <c r="A10" s="6" t="s">
        <v>40</v>
      </c>
      <c r="B10" s="37">
        <f t="shared" si="0"/>
        <v>515.24378563000005</v>
      </c>
      <c r="C10" s="33"/>
      <c r="D10" s="37">
        <f>IF( ISERROR(IND_voed_gas_kWh/1000),0,IND_voed_gas_kWh/1000)*0.902</f>
        <v>714.08057234139994</v>
      </c>
      <c r="E10" s="33">
        <f>C32*'E Balans VL '!I20/100/3.6*1000000</f>
        <v>13.098204518409693</v>
      </c>
      <c r="F10" s="33">
        <f>C32*'E Balans VL '!L20/100/3.6*1000000+C32*'E Balans VL '!N20/100/3.6*1000000</f>
        <v>116.59193421182503</v>
      </c>
      <c r="G10" s="34"/>
      <c r="H10" s="33"/>
      <c r="I10" s="33"/>
      <c r="J10" s="40">
        <f>C32*'E Balans VL '!D20/100/3.6*1000000+C32*'E Balans VL '!E20/100/3.6*1000000</f>
        <v>0</v>
      </c>
      <c r="K10" s="33"/>
      <c r="L10" s="33"/>
      <c r="M10" s="33"/>
      <c r="N10" s="33">
        <f>C32*'E Balans VL '!Y20/100/3.6*1000000</f>
        <v>193.23038584340256</v>
      </c>
      <c r="O10" s="33"/>
      <c r="P10" s="33"/>
      <c r="R10" s="32"/>
    </row>
    <row r="11" spans="1:18">
      <c r="A11" s="6" t="s">
        <v>39</v>
      </c>
      <c r="B11" s="37">
        <f t="shared" si="0"/>
        <v>20.685453208999999</v>
      </c>
      <c r="C11" s="33"/>
      <c r="D11" s="37">
        <f>IF( ISERROR(IND_textiel_gas_kWh/1000),0,IND_textiel_gas_kWh/1000)*0.902</f>
        <v>0</v>
      </c>
      <c r="E11" s="33">
        <f>C33*'E Balans VL '!I21/100/3.6*1000000</f>
        <v>5.6787131849739346E-2</v>
      </c>
      <c r="F11" s="33">
        <f>C33*'E Balans VL '!L21/100/3.6*1000000+C33*'E Balans VL '!N21/100/3.6*1000000</f>
        <v>1.0966565217494955</v>
      </c>
      <c r="G11" s="34"/>
      <c r="H11" s="33"/>
      <c r="I11" s="33"/>
      <c r="J11" s="40">
        <f>C33*'E Balans VL '!D21/100/3.6*1000000+C33*'E Balans VL '!E21/100/3.6*1000000</f>
        <v>0</v>
      </c>
      <c r="K11" s="33"/>
      <c r="L11" s="33"/>
      <c r="M11" s="33"/>
      <c r="N11" s="33">
        <f>C33*'E Balans VL '!Y21/100/3.6*1000000</f>
        <v>4.1574337867381364E-2</v>
      </c>
      <c r="O11" s="33"/>
      <c r="P11" s="33"/>
      <c r="R11" s="32"/>
    </row>
    <row r="12" spans="1:18">
      <c r="A12" s="6" t="s">
        <v>36</v>
      </c>
      <c r="B12" s="37">
        <f t="shared" si="0"/>
        <v>78.762418404000002</v>
      </c>
      <c r="C12" s="33"/>
      <c r="D12" s="37">
        <f>IF( ISERROR(IND_min_gas_kWh/1000),0,IND_min_gas_kWh/1000)*0.902</f>
        <v>0</v>
      </c>
      <c r="E12" s="33">
        <f>C34*'E Balans VL '!I22/100/3.6*1000000</f>
        <v>1.673503994962291</v>
      </c>
      <c r="F12" s="33">
        <f>C34*'E Balans VL '!L22/100/3.6*1000000+C34*'E Balans VL '!N22/100/3.6*1000000</f>
        <v>12.850759783709437</v>
      </c>
      <c r="G12" s="34"/>
      <c r="H12" s="33"/>
      <c r="I12" s="33"/>
      <c r="J12" s="40">
        <f>C34*'E Balans VL '!D22/100/3.6*1000000+C34*'E Balans VL '!E22/100/3.6*1000000</f>
        <v>9.1765567589867911E-2</v>
      </c>
      <c r="K12" s="33"/>
      <c r="L12" s="33"/>
      <c r="M12" s="33"/>
      <c r="N12" s="33">
        <f>C34*'E Balans VL '!Y22/100/3.6*1000000</f>
        <v>0</v>
      </c>
      <c r="O12" s="33"/>
      <c r="P12" s="33"/>
      <c r="R12" s="32"/>
    </row>
    <row r="13" spans="1:18">
      <c r="A13" s="6" t="s">
        <v>38</v>
      </c>
      <c r="B13" s="37">
        <f t="shared" si="0"/>
        <v>233.70079738999999</v>
      </c>
      <c r="C13" s="33"/>
      <c r="D13" s="37">
        <f>IF( ISERROR(IND_papier_gas_kWh/1000),0,IND_papier_gas_kWh/1000)*0.902</f>
        <v>261.24276353229999</v>
      </c>
      <c r="E13" s="33">
        <f>C35*'E Balans VL '!I23/100/3.6*1000000</f>
        <v>1.0022747322877144</v>
      </c>
      <c r="F13" s="33">
        <f>C35*'E Balans VL '!L23/100/3.6*1000000+C35*'E Balans VL '!N23/100/3.6*1000000</f>
        <v>5.8736263995092788</v>
      </c>
      <c r="G13" s="34"/>
      <c r="H13" s="33"/>
      <c r="I13" s="33"/>
      <c r="J13" s="40">
        <f>C35*'E Balans VL '!D23/100/3.6*1000000+C35*'E Balans VL '!E23/100/3.6*1000000</f>
        <v>15.64498658911473</v>
      </c>
      <c r="K13" s="33"/>
      <c r="L13" s="33"/>
      <c r="M13" s="33"/>
      <c r="N13" s="33">
        <f>C35*'E Balans VL '!Y23/100/3.6*1000000</f>
        <v>56.991129658405981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12806.311322000001</v>
      </c>
      <c r="C15" s="33"/>
      <c r="D15" s="37">
        <f>IF( ISERROR(IND_rest_gas_kWh/1000),0,IND_rest_gas_kWh/1000)*0.902</f>
        <v>5321.3134393716</v>
      </c>
      <c r="E15" s="33">
        <f>C37*'E Balans VL '!I15/100/3.6*1000000</f>
        <v>695.03552522145912</v>
      </c>
      <c r="F15" s="33">
        <f>C37*'E Balans VL '!L15/100/3.6*1000000+C37*'E Balans VL '!N15/100/3.6*1000000</f>
        <v>2791.1837273990154</v>
      </c>
      <c r="G15" s="34"/>
      <c r="H15" s="33"/>
      <c r="I15" s="33"/>
      <c r="J15" s="40">
        <f>C37*'E Balans VL '!D15/100/3.6*1000000+C37*'E Balans VL '!E15/100/3.6*1000000</f>
        <v>103.82224567022658</v>
      </c>
      <c r="K15" s="33"/>
      <c r="L15" s="33"/>
      <c r="M15" s="33"/>
      <c r="N15" s="33">
        <f>C37*'E Balans VL '!Y15/100/3.6*1000000</f>
        <v>718.58888873755461</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19110.529848433001</v>
      </c>
      <c r="C18" s="21">
        <f>C5+C16</f>
        <v>0</v>
      </c>
      <c r="D18" s="21">
        <f>MAX((D5+D16),0)</f>
        <v>49706.477336180506</v>
      </c>
      <c r="E18" s="21">
        <f>MAX((E5+E16),0)</f>
        <v>1554.2232456608358</v>
      </c>
      <c r="F18" s="21">
        <f>MAX((F5+F16),0)</f>
        <v>6562.3441237954721</v>
      </c>
      <c r="G18" s="21"/>
      <c r="H18" s="21"/>
      <c r="I18" s="21"/>
      <c r="J18" s="21">
        <f>MAX((J5+J16),0)</f>
        <v>119.55899782693118</v>
      </c>
      <c r="K18" s="21"/>
      <c r="L18" s="21">
        <f>MAX((L5+L16),0)</f>
        <v>0</v>
      </c>
      <c r="M18" s="21"/>
      <c r="N18" s="21">
        <f>MAX((N5+N16),0)</f>
        <v>1327.2174225142371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0.19216274470487338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3672.3318684392934</v>
      </c>
      <c r="C22" s="23">
        <f ca="1">C18*C20</f>
        <v>0</v>
      </c>
      <c r="D22" s="23">
        <f>D18*D20</f>
        <v>10040.708421908463</v>
      </c>
      <c r="E22" s="23">
        <f>E18*E20</f>
        <v>352.80867676500975</v>
      </c>
      <c r="F22" s="23">
        <f>F18*F20</f>
        <v>1752.1458810533911</v>
      </c>
      <c r="G22" s="23"/>
      <c r="H22" s="23"/>
      <c r="I22" s="23"/>
      <c r="J22" s="23">
        <f>J18*J20</f>
        <v>42.323885230733637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2503.9259635999997</v>
      </c>
      <c r="C30" s="39">
        <f>IF(ISERROR(B30*3.6/1000000/'E Balans VL '!Z18*100),0,B30*3.6/1000000/'E Balans VL '!Z18*100)</f>
        <v>0.53052822892901852</v>
      </c>
      <c r="D30" s="232" t="s">
        <v>621</v>
      </c>
    </row>
    <row r="31" spans="1:18">
      <c r="A31" s="6" t="s">
        <v>32</v>
      </c>
      <c r="B31" s="37">
        <f>IF( ISERROR(IND_ander_ele_kWh/1000),0,IND_ander_ele_kWh/1000)</f>
        <v>2951.9001082</v>
      </c>
      <c r="C31" s="39">
        <f>IF(ISERROR(B31*3.6/1000000/'E Balans VL '!Z19*100),0,B31*3.6/1000000/'E Balans VL '!Z19*100)</f>
        <v>0.12425217833079925</v>
      </c>
      <c r="D31" s="232" t="s">
        <v>621</v>
      </c>
    </row>
    <row r="32" spans="1:18">
      <c r="A32" s="167" t="s">
        <v>40</v>
      </c>
      <c r="B32" s="37">
        <f>IF( ISERROR(IND_voed_ele_kWh/1000),0,IND_voed_ele_kWh/1000)</f>
        <v>515.24378563000005</v>
      </c>
      <c r="C32" s="39">
        <f>IF(ISERROR(B32*3.6/1000000/'E Balans VL '!Z20*100),0,B32*3.6/1000000/'E Balans VL '!Z20*100)</f>
        <v>8.6077303971986624E-2</v>
      </c>
      <c r="D32" s="232" t="s">
        <v>621</v>
      </c>
    </row>
    <row r="33" spans="1:5">
      <c r="A33" s="167" t="s">
        <v>39</v>
      </c>
      <c r="B33" s="37">
        <f>IF( ISERROR(IND_textiel_ele_kWh/1000),0,IND_textiel_ele_kWh/1000)</f>
        <v>20.685453208999999</v>
      </c>
      <c r="C33" s="39">
        <f>IF(ISERROR(B33*3.6/1000000/'E Balans VL '!Z21*100),0,B33*3.6/1000000/'E Balans VL '!Z21*100)</f>
        <v>1.2076786599094079E-3</v>
      </c>
      <c r="D33" s="232" t="s">
        <v>621</v>
      </c>
    </row>
    <row r="34" spans="1:5">
      <c r="A34" s="167" t="s">
        <v>36</v>
      </c>
      <c r="B34" s="37">
        <f>IF( ISERROR(IND_min_ele_kWh/1000),0,IND_min_ele_kWh/1000)</f>
        <v>78.762418404000002</v>
      </c>
      <c r="C34" s="39">
        <f>IF(ISERROR(B34*3.6/1000000/'E Balans VL '!Z22*100),0,B34*3.6/1000000/'E Balans VL '!Z22*100)</f>
        <v>9.9835612971749272E-3</v>
      </c>
      <c r="D34" s="232" t="s">
        <v>621</v>
      </c>
    </row>
    <row r="35" spans="1:5">
      <c r="A35" s="167" t="s">
        <v>38</v>
      </c>
      <c r="B35" s="37">
        <f>IF( ISERROR(IND_papier_ele_kWh/1000),0,IND_papier_ele_kWh/1000)</f>
        <v>233.70079738999999</v>
      </c>
      <c r="C35" s="39">
        <f>IF(ISERROR(B35*3.6/1000000/'E Balans VL '!Z22*100),0,B35*3.6/1000000/'E Balans VL '!Z22*100)</f>
        <v>2.9622836413860442E-2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12806.311322000001</v>
      </c>
      <c r="C37" s="39">
        <f>IF(ISERROR(B37*3.6/1000000/'E Balans VL '!Z15*100),0,B37*3.6/1000000/'E Balans VL '!Z15*100)</f>
        <v>0.1033903101335317</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5160.1868188499993</v>
      </c>
      <c r="C5" s="17">
        <f>'Eigen informatie GS &amp; warmtenet'!B60</f>
        <v>0</v>
      </c>
      <c r="D5" s="30">
        <f>IF(ISERROR(SUM(LB_lb_gas_kWh,LB_rest_gas_kWh)/1000),0,SUM(LB_lb_gas_kWh,LB_rest_gas_kWh)/1000)*0.902</f>
        <v>61049.985300432265</v>
      </c>
      <c r="E5" s="17">
        <f>B17*'E Balans VL '!I25/3.6*1000000/100</f>
        <v>102.22773867997488</v>
      </c>
      <c r="F5" s="17">
        <f>B17*('E Balans VL '!L25/3.6*1000000+'E Balans VL '!N25/3.6*1000000)/100</f>
        <v>18817.745940368597</v>
      </c>
      <c r="G5" s="18"/>
      <c r="H5" s="17"/>
      <c r="I5" s="17"/>
      <c r="J5" s="17">
        <f>('E Balans VL '!D25+'E Balans VL '!E25)/3.6*1000000*landbouw!B17/100</f>
        <v>1225.2362500195377</v>
      </c>
      <c r="K5" s="17"/>
      <c r="L5" s="17">
        <f>L6*(-1)</f>
        <v>0</v>
      </c>
      <c r="M5" s="17"/>
      <c r="N5" s="17">
        <f>N6*(-1)</f>
        <v>0</v>
      </c>
      <c r="O5" s="17"/>
      <c r="P5" s="17"/>
      <c r="R5" s="32"/>
    </row>
    <row r="6" spans="1:18">
      <c r="A6" s="16" t="s">
        <v>477</v>
      </c>
      <c r="B6" s="17" t="s">
        <v>204</v>
      </c>
      <c r="C6" s="17">
        <f>'lokale energieproductie'!O40+'lokale energieproductie'!O33</f>
        <v>27006.428571428572</v>
      </c>
      <c r="D6" s="300">
        <f>('lokale energieproductie'!P33+'lokale energieproductie'!P40)*(-1)</f>
        <v>-54012.857142857145</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5160.1868188499993</v>
      </c>
      <c r="C8" s="21">
        <f>C5+C6</f>
        <v>27006.428571428572</v>
      </c>
      <c r="D8" s="21">
        <f>MAX((D5+D6),0)</f>
        <v>7037.12815757512</v>
      </c>
      <c r="E8" s="21">
        <f>MAX((E5+E6),0)</f>
        <v>102.22773867997488</v>
      </c>
      <c r="F8" s="21">
        <f>MAX((F5+F6),0)</f>
        <v>18817.745940368597</v>
      </c>
      <c r="G8" s="21"/>
      <c r="H8" s="21"/>
      <c r="I8" s="21"/>
      <c r="J8" s="21">
        <f>MAX((J5+J6),0)</f>
        <v>1225.2362500195377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0.19216274470487338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991.59566230012513</v>
      </c>
      <c r="C12" s="23">
        <f ca="1">C8*C10</f>
        <v>6417.9983193277312</v>
      </c>
      <c r="D12" s="23">
        <f>D8*D10</f>
        <v>1421.4998878301744</v>
      </c>
      <c r="E12" s="23">
        <f>E8*E10</f>
        <v>23.205696680354297</v>
      </c>
      <c r="F12" s="23">
        <f>F8*F10</f>
        <v>5024.3381660784153</v>
      </c>
      <c r="G12" s="23"/>
      <c r="H12" s="23"/>
      <c r="I12" s="23"/>
      <c r="J12" s="23">
        <f>J8*J10</f>
        <v>433.73363250691631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0.72762052176891734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701.91095744046527</v>
      </c>
      <c r="C26" s="242">
        <f>B26*'GWP N2O_CH4'!B5</f>
        <v>14740.130106249771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424.29891406095464</v>
      </c>
      <c r="C27" s="242">
        <f>B27*'GWP N2O_CH4'!B5</f>
        <v>8910.2771952800467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12.234269677517453</v>
      </c>
      <c r="C28" s="242">
        <f>B28*'GWP N2O_CH4'!B4</f>
        <v>3792.6236000304107</v>
      </c>
      <c r="D28" s="50"/>
    </row>
    <row r="29" spans="1:4">
      <c r="A29" s="41" t="s">
        <v>266</v>
      </c>
      <c r="B29" s="242">
        <f>B34*'ha_N2O bodem landbouw'!B4</f>
        <v>23.225550074615178</v>
      </c>
      <c r="C29" s="242">
        <f>B29*'GWP N2O_CH4'!B4</f>
        <v>7199.9205231307051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5.2270108798935762E-3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1.9931296657671536E-4</v>
      </c>
      <c r="C5" s="427" t="s">
        <v>204</v>
      </c>
      <c r="D5" s="412">
        <f>SUM(D6:D11)</f>
        <v>2.9847128129182699E-4</v>
      </c>
      <c r="E5" s="412">
        <f>SUM(E6:E11)</f>
        <v>1.5052650789263769E-3</v>
      </c>
      <c r="F5" s="425" t="s">
        <v>204</v>
      </c>
      <c r="G5" s="412">
        <f>SUM(G6:G11)</f>
        <v>0.61810405110200883</v>
      </c>
      <c r="H5" s="412">
        <f>SUM(H6:H11)</f>
        <v>0.10577313210184426</v>
      </c>
      <c r="I5" s="427" t="s">
        <v>204</v>
      </c>
      <c r="J5" s="427" t="s">
        <v>204</v>
      </c>
      <c r="K5" s="427" t="s">
        <v>204</v>
      </c>
      <c r="L5" s="427" t="s">
        <v>204</v>
      </c>
      <c r="M5" s="412">
        <f>SUM(M6:M11)</f>
        <v>2.2615506291167195E-2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6.1478985002058864E-5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9.6874246821565717E-5</v>
      </c>
      <c r="E6" s="818">
        <f>vkm_GW_PW*SUMIFS(TableVerdeelsleutelVkm[LPG],TableVerdeelsleutelVkm[Voertuigtype],"Lichte voertuigen")*SUMIFS(TableECFTransport[EnergieConsumptieFactor (PJ per km)],TableECFTransport[Index],CONCATENATE($A6,"_LPG_LPG"))</f>
        <v>4.4220812849719263E-4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0.11939705531588839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3.3714207606181552E-2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4.7666621396065378E-3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2.2626338537722726E-6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7.7990420329610552E-2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1.5844418061094352E-6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2.4535883040998564E-3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2.4869097080235468E-5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5.5512932386900428E-5</v>
      </c>
      <c r="E8" s="415">
        <f>vkm_NGW_PW*SUMIFS(TableVerdeelsleutelVkm[LPG],TableVerdeelsleutelVkm[Voertuigtype],"Lichte voertuigen")*SUMIFS(TableECFTransport[EnergieConsumptieFactor (PJ per km)],TableECFTransport[Index],CONCATENATE($A8,"_LPG_LPG"))</f>
        <v>2.4175280036568429E-4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6.0860124635824048E-2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1.8744765871688013E-2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2.4764517151945886E-3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2.5781966211661405E-7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1.1426259749467095E-2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2.1791869689397717E-7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3.5947112392854558E-4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1.0595652926744263E-4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1.4608410208336088E-4</v>
      </c>
      <c r="E10" s="415">
        <f>vkm_SW_PW*SUMIFS(TableVerdeelsleutelVkm[LPG],TableVerdeelsleutelVkm[Voertuigtype],"Lichte voertuigen")*SUMIFS(TableECFTransport[EnergieConsumptieFactor (PJ per km)],TableECFTransport[Index],CONCATENATE($A10,"_LPG_LPG"))</f>
        <v>8.2130415006349995E-4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0.2010299598117696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5.330912155021493E-2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7.9220962390370488E-3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4.4879017110895049E-6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0.14740023125944912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3.2347132567594344E-6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4.6372367693006183E-3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55.364712937976485</v>
      </c>
      <c r="C14" s="21"/>
      <c r="D14" s="21">
        <f t="shared" ref="D14:M14" si="0">((D5)*10^9/3600)+D12</f>
        <v>82.908689247729711</v>
      </c>
      <c r="E14" s="21">
        <f t="shared" si="0"/>
        <v>418.12918859066031</v>
      </c>
      <c r="F14" s="21"/>
      <c r="G14" s="21">
        <f t="shared" si="0"/>
        <v>171695.569750558</v>
      </c>
      <c r="H14" s="21">
        <f t="shared" si="0"/>
        <v>29381.42558384563</v>
      </c>
      <c r="I14" s="21"/>
      <c r="J14" s="21"/>
      <c r="K14" s="21"/>
      <c r="L14" s="21"/>
      <c r="M14" s="21">
        <f t="shared" si="0"/>
        <v>6282.0850808797768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0.19216274470487338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10.639035197958975</v>
      </c>
      <c r="C18" s="23"/>
      <c r="D18" s="23">
        <f t="shared" ref="D18:M18" si="1">D14*D16</f>
        <v>16.747555228041403</v>
      </c>
      <c r="E18" s="23">
        <f t="shared" si="1"/>
        <v>94.915325810079892</v>
      </c>
      <c r="F18" s="23"/>
      <c r="G18" s="23">
        <f t="shared" si="1"/>
        <v>45842.717123398987</v>
      </c>
      <c r="H18" s="23">
        <f t="shared" si="1"/>
        <v>7315.9749703775615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3.8044900798109516E-5</v>
      </c>
      <c r="C50" s="311">
        <f t="shared" ref="C50:P50" si="2">SUM(C51:C52)</f>
        <v>0</v>
      </c>
      <c r="D50" s="311">
        <f t="shared" si="2"/>
        <v>0</v>
      </c>
      <c r="E50" s="311">
        <f t="shared" si="2"/>
        <v>0</v>
      </c>
      <c r="F50" s="311">
        <f t="shared" si="2"/>
        <v>0</v>
      </c>
      <c r="G50" s="311">
        <f t="shared" si="2"/>
        <v>6.7834863584045431E-3</v>
      </c>
      <c r="H50" s="311">
        <f t="shared" si="2"/>
        <v>0</v>
      </c>
      <c r="I50" s="311">
        <f t="shared" si="2"/>
        <v>0</v>
      </c>
      <c r="J50" s="311">
        <f t="shared" si="2"/>
        <v>0</v>
      </c>
      <c r="K50" s="311">
        <f t="shared" si="2"/>
        <v>0</v>
      </c>
      <c r="L50" s="311">
        <f t="shared" si="2"/>
        <v>0</v>
      </c>
      <c r="M50" s="311">
        <f t="shared" si="2"/>
        <v>2.1175416058272193E-4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3.8044900798109516E-5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6.7834863584045431E-3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2.1175416058272193E-4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10.568027999474864</v>
      </c>
      <c r="C54" s="21">
        <f t="shared" ref="C54:P54" si="3">(C50)*10^9/3600</f>
        <v>0</v>
      </c>
      <c r="D54" s="21">
        <f t="shared" si="3"/>
        <v>0</v>
      </c>
      <c r="E54" s="21">
        <f t="shared" si="3"/>
        <v>0</v>
      </c>
      <c r="F54" s="21">
        <f t="shared" si="3"/>
        <v>0</v>
      </c>
      <c r="G54" s="21">
        <f t="shared" si="3"/>
        <v>1884.3017662234843</v>
      </c>
      <c r="H54" s="21">
        <f t="shared" si="3"/>
        <v>0</v>
      </c>
      <c r="I54" s="21">
        <f t="shared" si="3"/>
        <v>0</v>
      </c>
      <c r="J54" s="21">
        <f t="shared" si="3"/>
        <v>0</v>
      </c>
      <c r="K54" s="21">
        <f t="shared" si="3"/>
        <v>0</v>
      </c>
      <c r="L54" s="21">
        <f t="shared" si="3"/>
        <v>0</v>
      </c>
      <c r="M54" s="21">
        <f t="shared" si="3"/>
        <v>58.820600161867205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0.19216274470487338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2.0307812664970419</v>
      </c>
      <c r="C58" s="23">
        <f t="shared" ref="C58:P58" ca="1" si="4">C54*C56</f>
        <v>0</v>
      </c>
      <c r="D58" s="23">
        <f t="shared" si="4"/>
        <v>0</v>
      </c>
      <c r="E58" s="23">
        <f t="shared" si="4"/>
        <v>0</v>
      </c>
      <c r="F58" s="23">
        <f t="shared" si="4"/>
        <v>0</v>
      </c>
      <c r="G58" s="23">
        <f t="shared" si="4"/>
        <v>503.10857158167033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3174.9323310401801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10657.158666075327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18904.5</v>
      </c>
      <c r="C8" s="534">
        <f>B49</f>
        <v>22240.588235294119</v>
      </c>
      <c r="D8" s="961"/>
      <c r="E8" s="961">
        <f>E49</f>
        <v>0</v>
      </c>
      <c r="F8" s="962"/>
      <c r="G8" s="535"/>
      <c r="H8" s="961">
        <f>I49</f>
        <v>0</v>
      </c>
      <c r="I8" s="961">
        <f>G49+F49</f>
        <v>0</v>
      </c>
      <c r="J8" s="961">
        <f>H49+D49+C49</f>
        <v>0</v>
      </c>
      <c r="K8" s="961"/>
      <c r="L8" s="961"/>
      <c r="M8" s="961"/>
      <c r="N8" s="536"/>
      <c r="O8" s="537">
        <f>C8*$C$12+D8*$D$12+E8*$E$12+F8*$F$12+G8*$G$12+H8*$H$12+I8*$I$12+J8*$J$12</f>
        <v>4492.5988235294126</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32736.590997115505</v>
      </c>
      <c r="C10" s="547">
        <f t="shared" ref="C10:L10" si="0">SUM(C8:C9)</f>
        <v>22240.588235294119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4492.5988235294126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27006.428571428572</v>
      </c>
      <c r="C17" s="559">
        <f>B50</f>
        <v>31772.268907563026</v>
      </c>
      <c r="D17" s="560"/>
      <c r="E17" s="560">
        <f>E50</f>
        <v>0</v>
      </c>
      <c r="F17" s="967"/>
      <c r="G17" s="561"/>
      <c r="H17" s="559">
        <f>I50</f>
        <v>0</v>
      </c>
      <c r="I17" s="560">
        <f>G50+F50</f>
        <v>0</v>
      </c>
      <c r="J17" s="560">
        <f>H50+D50+C50</f>
        <v>0</v>
      </c>
      <c r="K17" s="560"/>
      <c r="L17" s="560"/>
      <c r="M17" s="560"/>
      <c r="N17" s="968"/>
      <c r="O17" s="562">
        <f>C17*$C$22+E17*$E$22+H17*$H$22+I17*$I$22+J17*$J$22+D17*$D$22+F17*$F$22+G17*$G$22+K17*$K$22+L17*$L$22</f>
        <v>6417.9983193277312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27006.428571428572</v>
      </c>
      <c r="C20" s="546">
        <f>SUM(C17:C19)</f>
        <v>31772.268907563026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6417.9983193277312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31040</v>
      </c>
      <c r="C28" s="724">
        <v>8210</v>
      </c>
      <c r="D28" s="617"/>
      <c r="E28" s="616"/>
      <c r="F28" s="616"/>
      <c r="G28" s="616" t="s">
        <v>887</v>
      </c>
      <c r="H28" s="616" t="s">
        <v>888</v>
      </c>
      <c r="I28" s="616"/>
      <c r="J28" s="723"/>
      <c r="K28" s="723"/>
      <c r="L28" s="616" t="s">
        <v>889</v>
      </c>
      <c r="M28" s="616">
        <v>1156</v>
      </c>
      <c r="N28" s="616">
        <v>5202</v>
      </c>
      <c r="O28" s="616">
        <v>7431.4285714285716</v>
      </c>
      <c r="P28" s="616">
        <v>14862.857142857143</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31040</v>
      </c>
      <c r="C29" s="724">
        <v>8210</v>
      </c>
      <c r="D29" s="617"/>
      <c r="E29" s="616"/>
      <c r="F29" s="616"/>
      <c r="G29" s="616" t="s">
        <v>887</v>
      </c>
      <c r="H29" s="616" t="s">
        <v>888</v>
      </c>
      <c r="I29" s="616"/>
      <c r="J29" s="723"/>
      <c r="K29" s="723"/>
      <c r="L29" s="616" t="s">
        <v>889</v>
      </c>
      <c r="M29" s="616">
        <v>3045</v>
      </c>
      <c r="N29" s="616">
        <v>13702.5</v>
      </c>
      <c r="O29" s="616">
        <v>19575</v>
      </c>
      <c r="P29" s="616">
        <v>39150</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4201</v>
      </c>
      <c r="N30" s="574">
        <f>SUM(N28:N29)</f>
        <v>18904.5</v>
      </c>
      <c r="O30" s="574">
        <f>SUM(O28:O29)</f>
        <v>27006.428571428572</v>
      </c>
      <c r="P30" s="574">
        <f>SUM(P28:P29)</f>
        <v>54012.857142857145</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4201</v>
      </c>
      <c r="N33" s="579">
        <f>SUMIF($AA$28:$AA$29,"landbouw",N28:N29)</f>
        <v>18904.5</v>
      </c>
      <c r="O33" s="579">
        <f>SUMIF($AA$28:$AA$29,"landbouw",O28:O29)</f>
        <v>27006.428571428572</v>
      </c>
      <c r="P33" s="579">
        <f>SUMIF($AA$28:$AA$29,"landbouw",P28:P29)</f>
        <v>54012.857142857145</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22240.588235294119</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31772.268907563026</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26659.905205950003</v>
      </c>
      <c r="D10" s="930">
        <f ca="1">tertiair!C16</f>
        <v>0</v>
      </c>
      <c r="E10" s="930">
        <f ca="1">tertiair!D16</f>
        <v>27846.873337572521</v>
      </c>
      <c r="F10" s="930">
        <f>tertiair!E16</f>
        <v>391.55181043174366</v>
      </c>
      <c r="G10" s="930">
        <f ca="1">tertiair!F16</f>
        <v>5711.7630854478903</v>
      </c>
      <c r="H10" s="930">
        <f>tertiair!G16</f>
        <v>0</v>
      </c>
      <c r="I10" s="930">
        <f>tertiair!H16</f>
        <v>0</v>
      </c>
      <c r="J10" s="930">
        <f>tertiair!I16</f>
        <v>0</v>
      </c>
      <c r="K10" s="930">
        <f>tertiair!J16</f>
        <v>4.8294726745327712E-2</v>
      </c>
      <c r="L10" s="930">
        <f>tertiair!K16</f>
        <v>0</v>
      </c>
      <c r="M10" s="930">
        <f ca="1">tertiair!L16</f>
        <v>0</v>
      </c>
      <c r="N10" s="930">
        <f>tertiair!M16</f>
        <v>0</v>
      </c>
      <c r="O10" s="930">
        <f ca="1">tertiair!N16</f>
        <v>1711.8178674271564</v>
      </c>
      <c r="P10" s="930">
        <f>tertiair!O16</f>
        <v>3.1266666666666669</v>
      </c>
      <c r="Q10" s="931">
        <f>tertiair!P16</f>
        <v>133.46666666666667</v>
      </c>
      <c r="R10" s="628">
        <f ca="1">SUM(C10:Q10)</f>
        <v>62458.552934889391</v>
      </c>
      <c r="S10" s="67"/>
    </row>
    <row r="11" spans="1:19" s="437" customFormat="1">
      <c r="A11" s="736" t="s">
        <v>214</v>
      </c>
      <c r="B11" s="741"/>
      <c r="C11" s="930">
        <f>huishoudens!B8</f>
        <v>42907.595913468409</v>
      </c>
      <c r="D11" s="930">
        <f>huishoudens!C8</f>
        <v>0</v>
      </c>
      <c r="E11" s="930">
        <f>huishoudens!D8</f>
        <v>73772.16331740201</v>
      </c>
      <c r="F11" s="930">
        <f>huishoudens!E8</f>
        <v>2051.7057067794053</v>
      </c>
      <c r="G11" s="930">
        <f>huishoudens!F8</f>
        <v>55781.817079236716</v>
      </c>
      <c r="H11" s="930">
        <f>huishoudens!G8</f>
        <v>0</v>
      </c>
      <c r="I11" s="930">
        <f>huishoudens!H8</f>
        <v>0</v>
      </c>
      <c r="J11" s="930">
        <f>huishoudens!I8</f>
        <v>0</v>
      </c>
      <c r="K11" s="930">
        <f>huishoudens!J8</f>
        <v>1028.7163402238345</v>
      </c>
      <c r="L11" s="930">
        <f>huishoudens!K8</f>
        <v>0</v>
      </c>
      <c r="M11" s="930">
        <f>huishoudens!L8</f>
        <v>0</v>
      </c>
      <c r="N11" s="930">
        <f>huishoudens!M8</f>
        <v>0</v>
      </c>
      <c r="O11" s="930">
        <f>huishoudens!N8</f>
        <v>11950.950122881242</v>
      </c>
      <c r="P11" s="930">
        <f>huishoudens!O8</f>
        <v>500.26666666666665</v>
      </c>
      <c r="Q11" s="931">
        <f>huishoudens!P8</f>
        <v>934.26666666666665</v>
      </c>
      <c r="R11" s="628">
        <f>SUM(C11:Q11)</f>
        <v>188927.48181332494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19110.529848433001</v>
      </c>
      <c r="D13" s="930">
        <f>industrie!C18</f>
        <v>0</v>
      </c>
      <c r="E13" s="930">
        <f>industrie!D18</f>
        <v>49706.477336180506</v>
      </c>
      <c r="F13" s="930">
        <f>industrie!E18</f>
        <v>1554.2232456608358</v>
      </c>
      <c r="G13" s="930">
        <f>industrie!F18</f>
        <v>6562.3441237954721</v>
      </c>
      <c r="H13" s="930">
        <f>industrie!G18</f>
        <v>0</v>
      </c>
      <c r="I13" s="930">
        <f>industrie!H18</f>
        <v>0</v>
      </c>
      <c r="J13" s="930">
        <f>industrie!I18</f>
        <v>0</v>
      </c>
      <c r="K13" s="930">
        <f>industrie!J18</f>
        <v>119.55899782693118</v>
      </c>
      <c r="L13" s="930">
        <f>industrie!K18</f>
        <v>0</v>
      </c>
      <c r="M13" s="930">
        <f>industrie!L18</f>
        <v>0</v>
      </c>
      <c r="N13" s="930">
        <f>industrie!M18</f>
        <v>0</v>
      </c>
      <c r="O13" s="930">
        <f>industrie!N18</f>
        <v>1327.2174225142371</v>
      </c>
      <c r="P13" s="930">
        <f>industrie!O18</f>
        <v>0</v>
      </c>
      <c r="Q13" s="931">
        <f>industrie!P18</f>
        <v>0</v>
      </c>
      <c r="R13" s="628">
        <f>SUM(C13:Q13)</f>
        <v>78380.350974410976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88678.030967851417</v>
      </c>
      <c r="D16" s="660">
        <f t="shared" ref="D16:R16" ca="1" si="0">SUM(D9:D15)</f>
        <v>0</v>
      </c>
      <c r="E16" s="660">
        <f t="shared" ca="1" si="0"/>
        <v>151325.51399115505</v>
      </c>
      <c r="F16" s="660">
        <f t="shared" si="0"/>
        <v>3997.480762871985</v>
      </c>
      <c r="G16" s="660">
        <f t="shared" ca="1" si="0"/>
        <v>68055.924288480077</v>
      </c>
      <c r="H16" s="660">
        <f t="shared" si="0"/>
        <v>0</v>
      </c>
      <c r="I16" s="660">
        <f t="shared" si="0"/>
        <v>0</v>
      </c>
      <c r="J16" s="660">
        <f t="shared" si="0"/>
        <v>0</v>
      </c>
      <c r="K16" s="660">
        <f t="shared" si="0"/>
        <v>1148.323632777511</v>
      </c>
      <c r="L16" s="660">
        <f t="shared" si="0"/>
        <v>0</v>
      </c>
      <c r="M16" s="660">
        <f t="shared" ca="1" si="0"/>
        <v>0</v>
      </c>
      <c r="N16" s="660">
        <f t="shared" si="0"/>
        <v>0</v>
      </c>
      <c r="O16" s="660">
        <f t="shared" ca="1" si="0"/>
        <v>14989.985412822636</v>
      </c>
      <c r="P16" s="660">
        <f t="shared" si="0"/>
        <v>503.39333333333332</v>
      </c>
      <c r="Q16" s="660">
        <f t="shared" si="0"/>
        <v>1067.7333333333333</v>
      </c>
      <c r="R16" s="660">
        <f t="shared" ca="1" si="0"/>
        <v>329766.3857226253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10.568027999474864</v>
      </c>
      <c r="D19" s="930">
        <f>transport!C54</f>
        <v>0</v>
      </c>
      <c r="E19" s="930">
        <f>transport!D54</f>
        <v>0</v>
      </c>
      <c r="F19" s="930">
        <f>transport!E54</f>
        <v>0</v>
      </c>
      <c r="G19" s="930">
        <f>transport!F54</f>
        <v>0</v>
      </c>
      <c r="H19" s="930">
        <f>transport!G54</f>
        <v>1884.3017662234843</v>
      </c>
      <c r="I19" s="930">
        <f>transport!H54</f>
        <v>0</v>
      </c>
      <c r="J19" s="930">
        <f>transport!I54</f>
        <v>0</v>
      </c>
      <c r="K19" s="930">
        <f>transport!J54</f>
        <v>0</v>
      </c>
      <c r="L19" s="930">
        <f>transport!K54</f>
        <v>0</v>
      </c>
      <c r="M19" s="930">
        <f>transport!L54</f>
        <v>0</v>
      </c>
      <c r="N19" s="930">
        <f>transport!M54</f>
        <v>58.820600161867205</v>
      </c>
      <c r="O19" s="930">
        <f>transport!N54</f>
        <v>0</v>
      </c>
      <c r="P19" s="930">
        <f>transport!O54</f>
        <v>0</v>
      </c>
      <c r="Q19" s="931">
        <f>transport!P54</f>
        <v>0</v>
      </c>
      <c r="R19" s="628">
        <f>SUM(C19:Q19)</f>
        <v>1953.6903943848263</v>
      </c>
      <c r="S19" s="67"/>
    </row>
    <row r="20" spans="1:19" s="437" customFormat="1">
      <c r="A20" s="736" t="s">
        <v>296</v>
      </c>
      <c r="B20" s="741"/>
      <c r="C20" s="930">
        <f>transport!B14</f>
        <v>55.364712937976485</v>
      </c>
      <c r="D20" s="930">
        <f>transport!C14</f>
        <v>0</v>
      </c>
      <c r="E20" s="930">
        <f>transport!D14</f>
        <v>82.908689247729711</v>
      </c>
      <c r="F20" s="930">
        <f>transport!E14</f>
        <v>418.12918859066031</v>
      </c>
      <c r="G20" s="930">
        <f>transport!F14</f>
        <v>0</v>
      </c>
      <c r="H20" s="930">
        <f>transport!G14</f>
        <v>171695.569750558</v>
      </c>
      <c r="I20" s="930">
        <f>transport!H14</f>
        <v>29381.42558384563</v>
      </c>
      <c r="J20" s="930">
        <f>transport!I14</f>
        <v>0</v>
      </c>
      <c r="K20" s="930">
        <f>transport!J14</f>
        <v>0</v>
      </c>
      <c r="L20" s="930">
        <f>transport!K14</f>
        <v>0</v>
      </c>
      <c r="M20" s="930">
        <f>transport!L14</f>
        <v>0</v>
      </c>
      <c r="N20" s="930">
        <f>transport!M14</f>
        <v>6282.0850808797768</v>
      </c>
      <c r="O20" s="930">
        <f>transport!N14</f>
        <v>0</v>
      </c>
      <c r="P20" s="930">
        <f>transport!O14</f>
        <v>0</v>
      </c>
      <c r="Q20" s="931">
        <f>transport!P14</f>
        <v>0</v>
      </c>
      <c r="R20" s="628">
        <f>SUM(C20:Q20)</f>
        <v>207915.48300605975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65.932740937451342</v>
      </c>
      <c r="D22" s="739">
        <f t="shared" ref="D22:R22" si="1">SUM(D18:D21)</f>
        <v>0</v>
      </c>
      <c r="E22" s="739">
        <f t="shared" si="1"/>
        <v>82.908689247729711</v>
      </c>
      <c r="F22" s="739">
        <f t="shared" si="1"/>
        <v>418.12918859066031</v>
      </c>
      <c r="G22" s="739">
        <f t="shared" si="1"/>
        <v>0</v>
      </c>
      <c r="H22" s="739">
        <f t="shared" si="1"/>
        <v>173579.87151678148</v>
      </c>
      <c r="I22" s="739">
        <f t="shared" si="1"/>
        <v>29381.42558384563</v>
      </c>
      <c r="J22" s="739">
        <f t="shared" si="1"/>
        <v>0</v>
      </c>
      <c r="K22" s="739">
        <f t="shared" si="1"/>
        <v>0</v>
      </c>
      <c r="L22" s="739">
        <f t="shared" si="1"/>
        <v>0</v>
      </c>
      <c r="M22" s="739">
        <f t="shared" si="1"/>
        <v>0</v>
      </c>
      <c r="N22" s="739">
        <f t="shared" si="1"/>
        <v>6340.9056810416441</v>
      </c>
      <c r="O22" s="739">
        <f t="shared" si="1"/>
        <v>0</v>
      </c>
      <c r="P22" s="739">
        <f t="shared" si="1"/>
        <v>0</v>
      </c>
      <c r="Q22" s="739">
        <f t="shared" si="1"/>
        <v>0</v>
      </c>
      <c r="R22" s="739">
        <f t="shared" si="1"/>
        <v>209869.17340044456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5160.1868188499993</v>
      </c>
      <c r="D24" s="930">
        <f>+landbouw!C8</f>
        <v>27006.428571428572</v>
      </c>
      <c r="E24" s="930">
        <f>+landbouw!D8</f>
        <v>7037.12815757512</v>
      </c>
      <c r="F24" s="930">
        <f>+landbouw!E8</f>
        <v>102.22773867997488</v>
      </c>
      <c r="G24" s="930">
        <f>+landbouw!F8</f>
        <v>18817.745940368597</v>
      </c>
      <c r="H24" s="930">
        <f>+landbouw!G8</f>
        <v>0</v>
      </c>
      <c r="I24" s="930">
        <f>+landbouw!H8</f>
        <v>0</v>
      </c>
      <c r="J24" s="930">
        <f>+landbouw!I8</f>
        <v>0</v>
      </c>
      <c r="K24" s="930">
        <f>+landbouw!J8</f>
        <v>1225.2362500195377</v>
      </c>
      <c r="L24" s="930">
        <f>+landbouw!K8</f>
        <v>0</v>
      </c>
      <c r="M24" s="930">
        <f>+landbouw!L8</f>
        <v>0</v>
      </c>
      <c r="N24" s="930">
        <f>+landbouw!M8</f>
        <v>0</v>
      </c>
      <c r="O24" s="930">
        <f>+landbouw!N8</f>
        <v>0</v>
      </c>
      <c r="P24" s="930">
        <f>+landbouw!O8</f>
        <v>0</v>
      </c>
      <c r="Q24" s="931">
        <f>+landbouw!P8</f>
        <v>0</v>
      </c>
      <c r="R24" s="628">
        <f>SUM(C24:Q24)</f>
        <v>59348.953476921808</v>
      </c>
      <c r="S24" s="67"/>
    </row>
    <row r="25" spans="1:19" s="437" customFormat="1" ht="15" thickBot="1">
      <c r="A25" s="758" t="s">
        <v>788</v>
      </c>
      <c r="B25" s="933"/>
      <c r="C25" s="934">
        <f>IF(Onbekend_ele_kWh="---",0,Onbekend_ele_kWh)/1000+IF(REST_rest_ele_kWh="---",0,REST_rest_ele_kWh)/1000</f>
        <v>1187.6936429999998</v>
      </c>
      <c r="D25" s="934"/>
      <c r="E25" s="934">
        <f>IF(onbekend_gas_kWh="---",0,onbekend_gas_kWh)/1000+IF(REST_rest_gas_kWh="---",0,REST_rest_gas_kWh)/1000</f>
        <v>2309.8717979000003</v>
      </c>
      <c r="F25" s="934"/>
      <c r="G25" s="934"/>
      <c r="H25" s="934"/>
      <c r="I25" s="934"/>
      <c r="J25" s="934"/>
      <c r="K25" s="934"/>
      <c r="L25" s="934"/>
      <c r="M25" s="934"/>
      <c r="N25" s="934"/>
      <c r="O25" s="934"/>
      <c r="P25" s="934"/>
      <c r="Q25" s="935"/>
      <c r="R25" s="628">
        <f>SUM(C25:Q25)</f>
        <v>3497.5654408999999</v>
      </c>
      <c r="S25" s="67"/>
    </row>
    <row r="26" spans="1:19" s="437" customFormat="1" ht="15.75" thickBot="1">
      <c r="A26" s="633" t="s">
        <v>789</v>
      </c>
      <c r="B26" s="744"/>
      <c r="C26" s="739">
        <f>SUM(C24:C25)</f>
        <v>6347.8804618499989</v>
      </c>
      <c r="D26" s="739">
        <f t="shared" ref="D26:R26" si="2">SUM(D24:D25)</f>
        <v>27006.428571428572</v>
      </c>
      <c r="E26" s="739">
        <f t="shared" si="2"/>
        <v>9346.9999554751194</v>
      </c>
      <c r="F26" s="739">
        <f t="shared" si="2"/>
        <v>102.22773867997488</v>
      </c>
      <c r="G26" s="739">
        <f t="shared" si="2"/>
        <v>18817.745940368597</v>
      </c>
      <c r="H26" s="739">
        <f t="shared" si="2"/>
        <v>0</v>
      </c>
      <c r="I26" s="739">
        <f t="shared" si="2"/>
        <v>0</v>
      </c>
      <c r="J26" s="739">
        <f t="shared" si="2"/>
        <v>0</v>
      </c>
      <c r="K26" s="739">
        <f t="shared" si="2"/>
        <v>1225.2362500195377</v>
      </c>
      <c r="L26" s="739">
        <f t="shared" si="2"/>
        <v>0</v>
      </c>
      <c r="M26" s="739">
        <f t="shared" si="2"/>
        <v>0</v>
      </c>
      <c r="N26" s="739">
        <f t="shared" si="2"/>
        <v>0</v>
      </c>
      <c r="O26" s="739">
        <f t="shared" si="2"/>
        <v>0</v>
      </c>
      <c r="P26" s="739">
        <f t="shared" si="2"/>
        <v>0</v>
      </c>
      <c r="Q26" s="739">
        <f t="shared" si="2"/>
        <v>0</v>
      </c>
      <c r="R26" s="739">
        <f t="shared" si="2"/>
        <v>62846.518917821806</v>
      </c>
      <c r="S26" s="67"/>
    </row>
    <row r="27" spans="1:19" s="437" customFormat="1" ht="17.25" thickTop="1" thickBot="1">
      <c r="A27" s="634" t="s">
        <v>109</v>
      </c>
      <c r="B27" s="732"/>
      <c r="C27" s="635">
        <f ca="1">C22+C16+C26</f>
        <v>95091.844170638869</v>
      </c>
      <c r="D27" s="635">
        <f t="shared" ref="D27:R27" ca="1" si="3">D22+D16+D26</f>
        <v>27006.428571428572</v>
      </c>
      <c r="E27" s="635">
        <f t="shared" ca="1" si="3"/>
        <v>160755.42263587791</v>
      </c>
      <c r="F27" s="635">
        <f t="shared" si="3"/>
        <v>4517.8376901426209</v>
      </c>
      <c r="G27" s="635">
        <f t="shared" ca="1" si="3"/>
        <v>86873.67022884867</v>
      </c>
      <c r="H27" s="635">
        <f t="shared" si="3"/>
        <v>173579.87151678148</v>
      </c>
      <c r="I27" s="635">
        <f t="shared" si="3"/>
        <v>29381.42558384563</v>
      </c>
      <c r="J27" s="635">
        <f t="shared" si="3"/>
        <v>0</v>
      </c>
      <c r="K27" s="635">
        <f t="shared" si="3"/>
        <v>2373.5598827970489</v>
      </c>
      <c r="L27" s="635">
        <f t="shared" si="3"/>
        <v>0</v>
      </c>
      <c r="M27" s="635">
        <f t="shared" ca="1" si="3"/>
        <v>0</v>
      </c>
      <c r="N27" s="635">
        <f t="shared" si="3"/>
        <v>6340.9056810416441</v>
      </c>
      <c r="O27" s="635">
        <f t="shared" ca="1" si="3"/>
        <v>14989.985412822636</v>
      </c>
      <c r="P27" s="635">
        <f t="shared" si="3"/>
        <v>503.39333333333332</v>
      </c>
      <c r="Q27" s="635">
        <f t="shared" si="3"/>
        <v>1067.7333333333333</v>
      </c>
      <c r="R27" s="635">
        <f t="shared" ca="1" si="3"/>
        <v>602482.07804089168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5123.0405579470944</v>
      </c>
      <c r="D40" s="930">
        <f ca="1">tertiair!C20</f>
        <v>0</v>
      </c>
      <c r="E40" s="930">
        <f ca="1">tertiair!D20</f>
        <v>5625.06841418965</v>
      </c>
      <c r="F40" s="930">
        <f>tertiair!E20</f>
        <v>88.882260968005809</v>
      </c>
      <c r="G40" s="930">
        <f ca="1">tertiair!F20</f>
        <v>1525.0407438145867</v>
      </c>
      <c r="H40" s="930">
        <f>tertiair!G20</f>
        <v>0</v>
      </c>
      <c r="I40" s="930">
        <f>tertiair!H20</f>
        <v>0</v>
      </c>
      <c r="J40" s="930">
        <f>tertiair!I20</f>
        <v>0</v>
      </c>
      <c r="K40" s="930">
        <f>tertiair!J20</f>
        <v>1.7096333267846011E-2</v>
      </c>
      <c r="L40" s="930">
        <f>tertiair!K20</f>
        <v>0</v>
      </c>
      <c r="M40" s="930">
        <f ca="1">tertiair!L20</f>
        <v>0</v>
      </c>
      <c r="N40" s="930">
        <f>tertiair!M20</f>
        <v>0</v>
      </c>
      <c r="O40" s="930">
        <f ca="1">tertiair!N20</f>
        <v>0</v>
      </c>
      <c r="P40" s="930">
        <f>tertiair!O20</f>
        <v>0</v>
      </c>
      <c r="Q40" s="702">
        <f>tertiair!P20</f>
        <v>0</v>
      </c>
      <c r="R40" s="777">
        <f t="shared" ca="1" si="4"/>
        <v>12362.049073252605</v>
      </c>
    </row>
    <row r="41" spans="1:18">
      <c r="A41" s="749" t="s">
        <v>214</v>
      </c>
      <c r="B41" s="756"/>
      <c r="C41" s="930">
        <f ca="1">huishoudens!B12</f>
        <v>8245.2413994196977</v>
      </c>
      <c r="D41" s="930">
        <f ca="1">huishoudens!C12</f>
        <v>0</v>
      </c>
      <c r="E41" s="930">
        <f>huishoudens!D12</f>
        <v>14901.976990115207</v>
      </c>
      <c r="F41" s="930">
        <f>huishoudens!E12</f>
        <v>465.73719543892503</v>
      </c>
      <c r="G41" s="930">
        <f>huishoudens!F12</f>
        <v>14893.745160156204</v>
      </c>
      <c r="H41" s="930">
        <f>huishoudens!G12</f>
        <v>0</v>
      </c>
      <c r="I41" s="930">
        <f>huishoudens!H12</f>
        <v>0</v>
      </c>
      <c r="J41" s="930">
        <f>huishoudens!I12</f>
        <v>0</v>
      </c>
      <c r="K41" s="930">
        <f>huishoudens!J12</f>
        <v>364.16558443923742</v>
      </c>
      <c r="L41" s="930">
        <f>huishoudens!K12</f>
        <v>0</v>
      </c>
      <c r="M41" s="930">
        <f>huishoudens!L12</f>
        <v>0</v>
      </c>
      <c r="N41" s="930">
        <f>huishoudens!M12</f>
        <v>0</v>
      </c>
      <c r="O41" s="930">
        <f>huishoudens!N12</f>
        <v>0</v>
      </c>
      <c r="P41" s="930">
        <f>huishoudens!O12</f>
        <v>0</v>
      </c>
      <c r="Q41" s="702">
        <f>huishoudens!P12</f>
        <v>0</v>
      </c>
      <c r="R41" s="777">
        <f t="shared" ca="1" si="4"/>
        <v>38870.866329569268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3672.3318684392934</v>
      </c>
      <c r="D43" s="930">
        <f ca="1">industrie!C22</f>
        <v>0</v>
      </c>
      <c r="E43" s="930">
        <f>industrie!D22</f>
        <v>10040.708421908463</v>
      </c>
      <c r="F43" s="930">
        <f>industrie!E22</f>
        <v>352.80867676500975</v>
      </c>
      <c r="G43" s="930">
        <f>industrie!F22</f>
        <v>1752.1458810533911</v>
      </c>
      <c r="H43" s="930">
        <f>industrie!G22</f>
        <v>0</v>
      </c>
      <c r="I43" s="930">
        <f>industrie!H22</f>
        <v>0</v>
      </c>
      <c r="J43" s="930">
        <f>industrie!I22</f>
        <v>0</v>
      </c>
      <c r="K43" s="930">
        <f>industrie!J22</f>
        <v>42.323885230733637</v>
      </c>
      <c r="L43" s="930">
        <f>industrie!K22</f>
        <v>0</v>
      </c>
      <c r="M43" s="930">
        <f>industrie!L22</f>
        <v>0</v>
      </c>
      <c r="N43" s="930">
        <f>industrie!M22</f>
        <v>0</v>
      </c>
      <c r="O43" s="930">
        <f>industrie!N22</f>
        <v>0</v>
      </c>
      <c r="P43" s="930">
        <f>industrie!O22</f>
        <v>0</v>
      </c>
      <c r="Q43" s="702">
        <f>industrie!P22</f>
        <v>0</v>
      </c>
      <c r="R43" s="776">
        <f t="shared" ca="1" si="4"/>
        <v>15860.318733396889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17040.613825806086</v>
      </c>
      <c r="D46" s="660">
        <f t="shared" ref="D46:Q46" ca="1" si="5">SUM(D39:D45)</f>
        <v>0</v>
      </c>
      <c r="E46" s="660">
        <f t="shared" ca="1" si="5"/>
        <v>30567.753826213317</v>
      </c>
      <c r="F46" s="660">
        <f t="shared" si="5"/>
        <v>907.42813317194054</v>
      </c>
      <c r="G46" s="660">
        <f t="shared" ca="1" si="5"/>
        <v>18170.931785024182</v>
      </c>
      <c r="H46" s="660">
        <f t="shared" si="5"/>
        <v>0</v>
      </c>
      <c r="I46" s="660">
        <f t="shared" si="5"/>
        <v>0</v>
      </c>
      <c r="J46" s="660">
        <f t="shared" si="5"/>
        <v>0</v>
      </c>
      <c r="K46" s="660">
        <f t="shared" si="5"/>
        <v>406.5065660032389</v>
      </c>
      <c r="L46" s="660">
        <f t="shared" si="5"/>
        <v>0</v>
      </c>
      <c r="M46" s="660">
        <f t="shared" ca="1" si="5"/>
        <v>0</v>
      </c>
      <c r="N46" s="660">
        <f t="shared" si="5"/>
        <v>0</v>
      </c>
      <c r="O46" s="660">
        <f t="shared" ca="1" si="5"/>
        <v>0</v>
      </c>
      <c r="P46" s="660">
        <f t="shared" si="5"/>
        <v>0</v>
      </c>
      <c r="Q46" s="660">
        <f t="shared" si="5"/>
        <v>0</v>
      </c>
      <c r="R46" s="660">
        <f ca="1">SUM(R39:R45)</f>
        <v>67093.234136218758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2.0307812664970419</v>
      </c>
      <c r="D49" s="930">
        <f ca="1">transport!C58</f>
        <v>0</v>
      </c>
      <c r="E49" s="930">
        <f>transport!D58</f>
        <v>0</v>
      </c>
      <c r="F49" s="930">
        <f>transport!E58</f>
        <v>0</v>
      </c>
      <c r="G49" s="930">
        <f>transport!F58</f>
        <v>0</v>
      </c>
      <c r="H49" s="930">
        <f>transport!G58</f>
        <v>503.10857158167033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505.13935284816739</v>
      </c>
    </row>
    <row r="50" spans="1:18">
      <c r="A50" s="752" t="s">
        <v>296</v>
      </c>
      <c r="B50" s="762"/>
      <c r="C50" s="631">
        <f ca="1">transport!B18</f>
        <v>10.639035197958975</v>
      </c>
      <c r="D50" s="631">
        <f>transport!C18</f>
        <v>0</v>
      </c>
      <c r="E50" s="631">
        <f>transport!D18</f>
        <v>16.747555228041403</v>
      </c>
      <c r="F50" s="631">
        <f>transport!E18</f>
        <v>94.915325810079892</v>
      </c>
      <c r="G50" s="631">
        <f>transport!F18</f>
        <v>0</v>
      </c>
      <c r="H50" s="631">
        <f>transport!G18</f>
        <v>45842.717123398987</v>
      </c>
      <c r="I50" s="631">
        <f>transport!H18</f>
        <v>7315.9749703775615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53280.994010012626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12.669816464456018</v>
      </c>
      <c r="D52" s="660">
        <f t="shared" ref="D52:Q52" ca="1" si="6">SUM(D48:D51)</f>
        <v>0</v>
      </c>
      <c r="E52" s="660">
        <f t="shared" si="6"/>
        <v>16.747555228041403</v>
      </c>
      <c r="F52" s="660">
        <f t="shared" si="6"/>
        <v>94.915325810079892</v>
      </c>
      <c r="G52" s="660">
        <f t="shared" si="6"/>
        <v>0</v>
      </c>
      <c r="H52" s="660">
        <f t="shared" si="6"/>
        <v>46345.82569498066</v>
      </c>
      <c r="I52" s="660">
        <f t="shared" si="6"/>
        <v>7315.9749703775615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53786.13336286079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991.59566230012513</v>
      </c>
      <c r="D54" s="631">
        <f ca="1">+landbouw!C12</f>
        <v>6417.9983193277312</v>
      </c>
      <c r="E54" s="631">
        <f>+landbouw!D12</f>
        <v>1421.4998878301744</v>
      </c>
      <c r="F54" s="631">
        <f>+landbouw!E12</f>
        <v>23.205696680354297</v>
      </c>
      <c r="G54" s="631">
        <f>+landbouw!F12</f>
        <v>5024.3381660784153</v>
      </c>
      <c r="H54" s="631">
        <f>+landbouw!G12</f>
        <v>0</v>
      </c>
      <c r="I54" s="631">
        <f>+landbouw!H12</f>
        <v>0</v>
      </c>
      <c r="J54" s="631">
        <f>+landbouw!I12</f>
        <v>0</v>
      </c>
      <c r="K54" s="631">
        <f>+landbouw!J12</f>
        <v>433.73363250691631</v>
      </c>
      <c r="L54" s="631">
        <f>+landbouw!K12</f>
        <v>0</v>
      </c>
      <c r="M54" s="631">
        <f>+landbouw!L12</f>
        <v>0</v>
      </c>
      <c r="N54" s="631">
        <f>+landbouw!M12</f>
        <v>0</v>
      </c>
      <c r="O54" s="631">
        <f>+landbouw!N12</f>
        <v>0</v>
      </c>
      <c r="P54" s="631">
        <f>+landbouw!O12</f>
        <v>0</v>
      </c>
      <c r="Q54" s="632">
        <f>+landbouw!P12</f>
        <v>0</v>
      </c>
      <c r="R54" s="659">
        <f ca="1">SUM(C54:Q54)</f>
        <v>14312.371364723716</v>
      </c>
    </row>
    <row r="55" spans="1:18" ht="15" thickBot="1">
      <c r="A55" s="752" t="s">
        <v>788</v>
      </c>
      <c r="B55" s="762"/>
      <c r="C55" s="631">
        <f ca="1">C25*'EF ele_warmte'!B12</f>
        <v>228.23047030741</v>
      </c>
      <c r="D55" s="631"/>
      <c r="E55" s="631">
        <f>E25*EF_CO2_aardgas</f>
        <v>466.59410317580006</v>
      </c>
      <c r="F55" s="631"/>
      <c r="G55" s="631"/>
      <c r="H55" s="631"/>
      <c r="I55" s="631"/>
      <c r="J55" s="631"/>
      <c r="K55" s="631"/>
      <c r="L55" s="631"/>
      <c r="M55" s="631"/>
      <c r="N55" s="631"/>
      <c r="O55" s="631"/>
      <c r="P55" s="631"/>
      <c r="Q55" s="632"/>
      <c r="R55" s="659">
        <f ca="1">SUM(C55:Q55)</f>
        <v>694.82457348321009</v>
      </c>
    </row>
    <row r="56" spans="1:18" ht="15.75" thickBot="1">
      <c r="A56" s="750" t="s">
        <v>789</v>
      </c>
      <c r="B56" s="763"/>
      <c r="C56" s="660">
        <f ca="1">SUM(C54:C55)</f>
        <v>1219.8261326075351</v>
      </c>
      <c r="D56" s="660">
        <f t="shared" ref="D56:Q56" ca="1" si="7">SUM(D54:D55)</f>
        <v>6417.9983193277312</v>
      </c>
      <c r="E56" s="660">
        <f t="shared" si="7"/>
        <v>1888.0939910059744</v>
      </c>
      <c r="F56" s="660">
        <f t="shared" si="7"/>
        <v>23.205696680354297</v>
      </c>
      <c r="G56" s="660">
        <f t="shared" si="7"/>
        <v>5024.3381660784153</v>
      </c>
      <c r="H56" s="660">
        <f t="shared" si="7"/>
        <v>0</v>
      </c>
      <c r="I56" s="660">
        <f t="shared" si="7"/>
        <v>0</v>
      </c>
      <c r="J56" s="660">
        <f t="shared" si="7"/>
        <v>0</v>
      </c>
      <c r="K56" s="660">
        <f t="shared" si="7"/>
        <v>433.73363250691631</v>
      </c>
      <c r="L56" s="660">
        <f t="shared" si="7"/>
        <v>0</v>
      </c>
      <c r="M56" s="660">
        <f t="shared" si="7"/>
        <v>0</v>
      </c>
      <c r="N56" s="660">
        <f t="shared" si="7"/>
        <v>0</v>
      </c>
      <c r="O56" s="660">
        <f t="shared" si="7"/>
        <v>0</v>
      </c>
      <c r="P56" s="660">
        <f t="shared" si="7"/>
        <v>0</v>
      </c>
      <c r="Q56" s="661">
        <f t="shared" si="7"/>
        <v>0</v>
      </c>
      <c r="R56" s="662">
        <f ca="1">SUM(R54:R55)</f>
        <v>15007.195938206927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18273.109774878074</v>
      </c>
      <c r="D61" s="668">
        <f t="shared" ref="D61:Q61" ca="1" si="8">D46+D52+D56</f>
        <v>6417.9983193277312</v>
      </c>
      <c r="E61" s="668">
        <f t="shared" ca="1" si="8"/>
        <v>32472.595372447333</v>
      </c>
      <c r="F61" s="668">
        <f t="shared" si="8"/>
        <v>1025.5491556623747</v>
      </c>
      <c r="G61" s="668">
        <f t="shared" ca="1" si="8"/>
        <v>23195.269951102597</v>
      </c>
      <c r="H61" s="668">
        <f t="shared" si="8"/>
        <v>46345.82569498066</v>
      </c>
      <c r="I61" s="668">
        <f t="shared" si="8"/>
        <v>7315.9749703775615</v>
      </c>
      <c r="J61" s="668">
        <f t="shared" si="8"/>
        <v>0</v>
      </c>
      <c r="K61" s="668">
        <f t="shared" si="8"/>
        <v>840.24019851015521</v>
      </c>
      <c r="L61" s="668">
        <f t="shared" si="8"/>
        <v>0</v>
      </c>
      <c r="M61" s="668">
        <f t="shared" ca="1" si="8"/>
        <v>0</v>
      </c>
      <c r="N61" s="668">
        <f t="shared" si="8"/>
        <v>0</v>
      </c>
      <c r="O61" s="668">
        <f t="shared" ca="1" si="8"/>
        <v>0</v>
      </c>
      <c r="P61" s="668">
        <f t="shared" si="8"/>
        <v>0</v>
      </c>
      <c r="Q61" s="668">
        <f t="shared" si="8"/>
        <v>0</v>
      </c>
      <c r="R61" s="668">
        <f ca="1">R46+R52+R56</f>
        <v>135886.56343728647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0.19216274470487332</v>
      </c>
      <c r="D63" s="709">
        <f t="shared" ca="1" si="9"/>
        <v>0.23764705882352941</v>
      </c>
      <c r="E63" s="941">
        <f t="shared" ca="1" si="9"/>
        <v>0.20199999999999996</v>
      </c>
      <c r="F63" s="709">
        <f t="shared" si="9"/>
        <v>0.22699999999999995</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3174.9323310401801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10657.158666075327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18904.5</v>
      </c>
      <c r="D76" s="951">
        <f>'lokale energieproductie'!C8</f>
        <v>22240.588235294119</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4492.5988235294126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13832.090997115507</v>
      </c>
      <c r="C78" s="683">
        <f>SUM(C72:C77)</f>
        <v>18904.5</v>
      </c>
      <c r="D78" s="684">
        <f t="shared" ref="D78:H78" si="10">SUM(D76:D77)</f>
        <v>22240.588235294119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4492.5988235294126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27006.428571428572</v>
      </c>
      <c r="D87" s="705">
        <f>'lokale energieproductie'!C17</f>
        <v>31772.268907563026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6417.9983193277312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27006.428571428572</v>
      </c>
      <c r="D90" s="683">
        <f t="shared" ref="D90:H90" si="12">SUM(D87:D89)</f>
        <v>31772.268907563026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6417.9983193277312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42907.595913468409</v>
      </c>
      <c r="C4" s="441">
        <f>huishoudens!C8</f>
        <v>0</v>
      </c>
      <c r="D4" s="441">
        <f>huishoudens!D8</f>
        <v>73772.16331740201</v>
      </c>
      <c r="E4" s="441">
        <f>huishoudens!E8</f>
        <v>2051.7057067794053</v>
      </c>
      <c r="F4" s="441">
        <f>huishoudens!F8</f>
        <v>55781.817079236716</v>
      </c>
      <c r="G4" s="441">
        <f>huishoudens!G8</f>
        <v>0</v>
      </c>
      <c r="H4" s="441">
        <f>huishoudens!H8</f>
        <v>0</v>
      </c>
      <c r="I4" s="441">
        <f>huishoudens!I8</f>
        <v>0</v>
      </c>
      <c r="J4" s="441">
        <f>huishoudens!J8</f>
        <v>1028.7163402238345</v>
      </c>
      <c r="K4" s="441">
        <f>huishoudens!K8</f>
        <v>0</v>
      </c>
      <c r="L4" s="441">
        <f>huishoudens!L8</f>
        <v>0</v>
      </c>
      <c r="M4" s="441">
        <f>huishoudens!M8</f>
        <v>0</v>
      </c>
      <c r="N4" s="441">
        <f>huishoudens!N8</f>
        <v>11950.950122881242</v>
      </c>
      <c r="O4" s="441">
        <f>huishoudens!O8</f>
        <v>500.26666666666665</v>
      </c>
      <c r="P4" s="442">
        <f>huishoudens!P8</f>
        <v>934.26666666666665</v>
      </c>
      <c r="Q4" s="443">
        <f>SUM(B4:P4)</f>
        <v>188927.48181332494</v>
      </c>
    </row>
    <row r="5" spans="1:17">
      <c r="A5" s="440" t="s">
        <v>149</v>
      </c>
      <c r="B5" s="441">
        <f ca="1">tertiair!B16</f>
        <v>24664.147508050002</v>
      </c>
      <c r="C5" s="441">
        <f ca="1">tertiair!C16</f>
        <v>0</v>
      </c>
      <c r="D5" s="441">
        <f ca="1">tertiair!D16</f>
        <v>27846.873337572521</v>
      </c>
      <c r="E5" s="441">
        <f>tertiair!E16</f>
        <v>391.55181043174366</v>
      </c>
      <c r="F5" s="441">
        <f ca="1">tertiair!F16</f>
        <v>5711.7630854478903</v>
      </c>
      <c r="G5" s="441">
        <f>tertiair!G16</f>
        <v>0</v>
      </c>
      <c r="H5" s="441">
        <f>tertiair!H16</f>
        <v>0</v>
      </c>
      <c r="I5" s="441">
        <f>tertiair!I16</f>
        <v>0</v>
      </c>
      <c r="J5" s="441">
        <f>tertiair!J16</f>
        <v>4.8294726745327712E-2</v>
      </c>
      <c r="K5" s="441">
        <f>tertiair!K16</f>
        <v>0</v>
      </c>
      <c r="L5" s="441">
        <f ca="1">tertiair!L16</f>
        <v>0</v>
      </c>
      <c r="M5" s="441">
        <f>tertiair!M16</f>
        <v>0</v>
      </c>
      <c r="N5" s="441">
        <f ca="1">tertiair!N16</f>
        <v>1711.8178674271564</v>
      </c>
      <c r="O5" s="441">
        <f>tertiair!O16</f>
        <v>3.1266666666666669</v>
      </c>
      <c r="P5" s="442">
        <f>tertiair!P16</f>
        <v>133.46666666666667</v>
      </c>
      <c r="Q5" s="440">
        <f t="shared" ref="Q5:Q14" ca="1" si="0">SUM(B5:P5)</f>
        <v>60462.79523698939</v>
      </c>
    </row>
    <row r="6" spans="1:17">
      <c r="A6" s="440" t="s">
        <v>187</v>
      </c>
      <c r="B6" s="441">
        <f>'openbare verlichting'!B8</f>
        <v>1995.7576979</v>
      </c>
      <c r="C6" s="441"/>
      <c r="D6" s="441"/>
      <c r="E6" s="441"/>
      <c r="F6" s="441"/>
      <c r="G6" s="441"/>
      <c r="H6" s="441"/>
      <c r="I6" s="441"/>
      <c r="J6" s="441"/>
      <c r="K6" s="441"/>
      <c r="L6" s="441"/>
      <c r="M6" s="441"/>
      <c r="N6" s="441"/>
      <c r="O6" s="441"/>
      <c r="P6" s="442"/>
      <c r="Q6" s="440">
        <f t="shared" si="0"/>
        <v>1995.7576979</v>
      </c>
    </row>
    <row r="7" spans="1:17">
      <c r="A7" s="440" t="s">
        <v>105</v>
      </c>
      <c r="B7" s="441">
        <f>landbouw!B8</f>
        <v>5160.1868188499993</v>
      </c>
      <c r="C7" s="441">
        <f>landbouw!C8</f>
        <v>27006.428571428572</v>
      </c>
      <c r="D7" s="441">
        <f>landbouw!D8</f>
        <v>7037.12815757512</v>
      </c>
      <c r="E7" s="441">
        <f>landbouw!E8</f>
        <v>102.22773867997488</v>
      </c>
      <c r="F7" s="441">
        <f>landbouw!F8</f>
        <v>18817.745940368597</v>
      </c>
      <c r="G7" s="441">
        <f>landbouw!G8</f>
        <v>0</v>
      </c>
      <c r="H7" s="441">
        <f>landbouw!H8</f>
        <v>0</v>
      </c>
      <c r="I7" s="441">
        <f>landbouw!I8</f>
        <v>0</v>
      </c>
      <c r="J7" s="441">
        <f>landbouw!J8</f>
        <v>1225.2362500195377</v>
      </c>
      <c r="K7" s="441">
        <f>landbouw!K8</f>
        <v>0</v>
      </c>
      <c r="L7" s="441">
        <f>landbouw!L8</f>
        <v>0</v>
      </c>
      <c r="M7" s="441">
        <f>landbouw!M8</f>
        <v>0</v>
      </c>
      <c r="N7" s="441">
        <f>landbouw!N8</f>
        <v>0</v>
      </c>
      <c r="O7" s="441">
        <f>landbouw!O8</f>
        <v>0</v>
      </c>
      <c r="P7" s="442">
        <f>landbouw!P8</f>
        <v>0</v>
      </c>
      <c r="Q7" s="440">
        <f t="shared" si="0"/>
        <v>59348.953476921808</v>
      </c>
    </row>
    <row r="8" spans="1:17">
      <c r="A8" s="440" t="s">
        <v>600</v>
      </c>
      <c r="B8" s="441">
        <f>industrie!B18</f>
        <v>19110.529848433001</v>
      </c>
      <c r="C8" s="441">
        <f>industrie!C18</f>
        <v>0</v>
      </c>
      <c r="D8" s="441">
        <f>industrie!D18</f>
        <v>49706.477336180506</v>
      </c>
      <c r="E8" s="441">
        <f>industrie!E18</f>
        <v>1554.2232456608358</v>
      </c>
      <c r="F8" s="441">
        <f>industrie!F18</f>
        <v>6562.3441237954721</v>
      </c>
      <c r="G8" s="441">
        <f>industrie!G18</f>
        <v>0</v>
      </c>
      <c r="H8" s="441">
        <f>industrie!H18</f>
        <v>0</v>
      </c>
      <c r="I8" s="441">
        <f>industrie!I18</f>
        <v>0</v>
      </c>
      <c r="J8" s="441">
        <f>industrie!J18</f>
        <v>119.55899782693118</v>
      </c>
      <c r="K8" s="441">
        <f>industrie!K18</f>
        <v>0</v>
      </c>
      <c r="L8" s="441">
        <f>industrie!L18</f>
        <v>0</v>
      </c>
      <c r="M8" s="441">
        <f>industrie!M18</f>
        <v>0</v>
      </c>
      <c r="N8" s="441">
        <f>industrie!N18</f>
        <v>1327.2174225142371</v>
      </c>
      <c r="O8" s="441">
        <f>industrie!O18</f>
        <v>0</v>
      </c>
      <c r="P8" s="442">
        <f>industrie!P18</f>
        <v>0</v>
      </c>
      <c r="Q8" s="440">
        <f t="shared" si="0"/>
        <v>78380.350974410976</v>
      </c>
    </row>
    <row r="9" spans="1:17" s="446" customFormat="1">
      <c r="A9" s="444" t="s">
        <v>549</v>
      </c>
      <c r="B9" s="445">
        <f>transport!B14</f>
        <v>55.364712937976485</v>
      </c>
      <c r="C9" s="445">
        <f>transport!C14</f>
        <v>0</v>
      </c>
      <c r="D9" s="445">
        <f>transport!D14</f>
        <v>82.908689247729711</v>
      </c>
      <c r="E9" s="445">
        <f>transport!E14</f>
        <v>418.12918859066031</v>
      </c>
      <c r="F9" s="445">
        <f>transport!F14</f>
        <v>0</v>
      </c>
      <c r="G9" s="445">
        <f>transport!G14</f>
        <v>171695.569750558</v>
      </c>
      <c r="H9" s="445">
        <f>transport!H14</f>
        <v>29381.42558384563</v>
      </c>
      <c r="I9" s="445">
        <f>transport!I14</f>
        <v>0</v>
      </c>
      <c r="J9" s="445">
        <f>transport!J14</f>
        <v>0</v>
      </c>
      <c r="K9" s="445">
        <f>transport!K14</f>
        <v>0</v>
      </c>
      <c r="L9" s="445">
        <f>transport!L14</f>
        <v>0</v>
      </c>
      <c r="M9" s="445">
        <f>transport!M14</f>
        <v>6282.0850808797768</v>
      </c>
      <c r="N9" s="445">
        <f>transport!N14</f>
        <v>0</v>
      </c>
      <c r="O9" s="445">
        <f>transport!O14</f>
        <v>0</v>
      </c>
      <c r="P9" s="445">
        <f>transport!P14</f>
        <v>0</v>
      </c>
      <c r="Q9" s="444">
        <f>SUM(B9:P9)</f>
        <v>207915.48300605975</v>
      </c>
    </row>
    <row r="10" spans="1:17">
      <c r="A10" s="440" t="s">
        <v>539</v>
      </c>
      <c r="B10" s="441">
        <f>transport!B54</f>
        <v>10.568027999474864</v>
      </c>
      <c r="C10" s="441">
        <f>transport!C54</f>
        <v>0</v>
      </c>
      <c r="D10" s="441">
        <f>transport!D54</f>
        <v>0</v>
      </c>
      <c r="E10" s="441">
        <f>transport!E54</f>
        <v>0</v>
      </c>
      <c r="F10" s="441">
        <f>transport!F54</f>
        <v>0</v>
      </c>
      <c r="G10" s="441">
        <f>transport!G54</f>
        <v>1884.3017662234843</v>
      </c>
      <c r="H10" s="441">
        <f>transport!H54</f>
        <v>0</v>
      </c>
      <c r="I10" s="441">
        <f>transport!I54</f>
        <v>0</v>
      </c>
      <c r="J10" s="441">
        <f>transport!J54</f>
        <v>0</v>
      </c>
      <c r="K10" s="441">
        <f>transport!K54</f>
        <v>0</v>
      </c>
      <c r="L10" s="441">
        <f>transport!L54</f>
        <v>0</v>
      </c>
      <c r="M10" s="441">
        <f>transport!M54</f>
        <v>58.820600161867205</v>
      </c>
      <c r="N10" s="441">
        <f>transport!N54</f>
        <v>0</v>
      </c>
      <c r="O10" s="441">
        <f>transport!O54</f>
        <v>0</v>
      </c>
      <c r="P10" s="442">
        <f>transport!P54</f>
        <v>0</v>
      </c>
      <c r="Q10" s="440">
        <f t="shared" si="0"/>
        <v>1953.6903943848263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1187.6936429999998</v>
      </c>
      <c r="C14" s="448"/>
      <c r="D14" s="448">
        <f>'SEAP template'!E25</f>
        <v>2309.8717979000003</v>
      </c>
      <c r="E14" s="448"/>
      <c r="F14" s="448"/>
      <c r="G14" s="448"/>
      <c r="H14" s="448"/>
      <c r="I14" s="448"/>
      <c r="J14" s="448"/>
      <c r="K14" s="448"/>
      <c r="L14" s="448"/>
      <c r="M14" s="448"/>
      <c r="N14" s="448"/>
      <c r="O14" s="448"/>
      <c r="P14" s="449"/>
      <c r="Q14" s="440">
        <f t="shared" si="0"/>
        <v>3497.5654408999999</v>
      </c>
    </row>
    <row r="15" spans="1:17" s="450" customFormat="1">
      <c r="A15" s="956" t="s">
        <v>543</v>
      </c>
      <c r="B15" s="896">
        <f ca="1">SUM(B4:B14)</f>
        <v>95091.844170638869</v>
      </c>
      <c r="C15" s="896">
        <f t="shared" ref="C15:Q15" ca="1" si="1">SUM(C4:C14)</f>
        <v>27006.428571428572</v>
      </c>
      <c r="D15" s="896">
        <f t="shared" ca="1" si="1"/>
        <v>160755.42263587791</v>
      </c>
      <c r="E15" s="896">
        <f t="shared" si="1"/>
        <v>4517.83769014262</v>
      </c>
      <c r="F15" s="896">
        <f t="shared" ca="1" si="1"/>
        <v>86873.67022884867</v>
      </c>
      <c r="G15" s="896">
        <f t="shared" si="1"/>
        <v>173579.87151678148</v>
      </c>
      <c r="H15" s="896">
        <f t="shared" si="1"/>
        <v>29381.42558384563</v>
      </c>
      <c r="I15" s="896">
        <f t="shared" si="1"/>
        <v>0</v>
      </c>
      <c r="J15" s="896">
        <f t="shared" si="1"/>
        <v>2373.5598827970489</v>
      </c>
      <c r="K15" s="896">
        <f t="shared" si="1"/>
        <v>0</v>
      </c>
      <c r="L15" s="896">
        <f t="shared" ca="1" si="1"/>
        <v>0</v>
      </c>
      <c r="M15" s="896">
        <f t="shared" si="1"/>
        <v>6340.9056810416441</v>
      </c>
      <c r="N15" s="896">
        <f t="shared" ca="1" si="1"/>
        <v>14989.985412822636</v>
      </c>
      <c r="O15" s="896">
        <f t="shared" si="1"/>
        <v>503.39333333333332</v>
      </c>
      <c r="P15" s="896">
        <f t="shared" si="1"/>
        <v>1067.7333333333333</v>
      </c>
      <c r="Q15" s="896">
        <f t="shared" ca="1" si="1"/>
        <v>602482.07804089168</v>
      </c>
    </row>
    <row r="17" spans="1:17">
      <c r="A17" s="451" t="s">
        <v>544</v>
      </c>
      <c r="B17" s="714">
        <f ca="1">huishoudens!B10</f>
        <v>0.19216274470487338</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8245.2413994196977</v>
      </c>
      <c r="C22" s="441">
        <f t="shared" ref="C22:C32" ca="1" si="3">C4*$C$17</f>
        <v>0</v>
      </c>
      <c r="D22" s="441">
        <f t="shared" ref="D22:D32" si="4">D4*$D$17</f>
        <v>14901.976990115207</v>
      </c>
      <c r="E22" s="441">
        <f t="shared" ref="E22:E32" si="5">E4*$E$17</f>
        <v>465.73719543892503</v>
      </c>
      <c r="F22" s="441">
        <f t="shared" ref="F22:F32" si="6">F4*$F$17</f>
        <v>14893.745160156204</v>
      </c>
      <c r="G22" s="441">
        <f t="shared" ref="G22:G32" si="7">G4*$G$17</f>
        <v>0</v>
      </c>
      <c r="H22" s="441">
        <f t="shared" ref="H22:H32" si="8">H4*$H$17</f>
        <v>0</v>
      </c>
      <c r="I22" s="441">
        <f t="shared" ref="I22:I32" si="9">I4*$I$17</f>
        <v>0</v>
      </c>
      <c r="J22" s="441">
        <f t="shared" ref="J22:J32" si="10">J4*$J$17</f>
        <v>364.16558443923742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38870.866329569268</v>
      </c>
    </row>
    <row r="23" spans="1:17">
      <c r="A23" s="440" t="s">
        <v>149</v>
      </c>
      <c r="B23" s="441">
        <f t="shared" ca="1" si="2"/>
        <v>4739.5302809527511</v>
      </c>
      <c r="C23" s="441">
        <f t="shared" ca="1" si="3"/>
        <v>0</v>
      </c>
      <c r="D23" s="441">
        <f t="shared" ca="1" si="4"/>
        <v>5625.06841418965</v>
      </c>
      <c r="E23" s="441">
        <f t="shared" si="5"/>
        <v>88.882260968005809</v>
      </c>
      <c r="F23" s="441">
        <f t="shared" ca="1" si="6"/>
        <v>1525.0407438145867</v>
      </c>
      <c r="G23" s="441">
        <f t="shared" si="7"/>
        <v>0</v>
      </c>
      <c r="H23" s="441">
        <f t="shared" si="8"/>
        <v>0</v>
      </c>
      <c r="I23" s="441">
        <f t="shared" si="9"/>
        <v>0</v>
      </c>
      <c r="J23" s="441">
        <f t="shared" si="10"/>
        <v>1.7096333267846011E-2</v>
      </c>
      <c r="K23" s="441">
        <f t="shared" si="11"/>
        <v>0</v>
      </c>
      <c r="L23" s="441">
        <f t="shared" ca="1" si="12"/>
        <v>0</v>
      </c>
      <c r="M23" s="441">
        <f t="shared" si="13"/>
        <v>0</v>
      </c>
      <c r="N23" s="441">
        <f t="shared" ca="1" si="14"/>
        <v>0</v>
      </c>
      <c r="O23" s="441">
        <f t="shared" si="15"/>
        <v>0</v>
      </c>
      <c r="P23" s="442">
        <f t="shared" si="16"/>
        <v>0</v>
      </c>
      <c r="Q23" s="440">
        <f t="shared" ref="Q23:Q32" ca="1" si="17">SUM(B23:P23)</f>
        <v>11978.538796258263</v>
      </c>
    </row>
    <row r="24" spans="1:17">
      <c r="A24" s="440" t="s">
        <v>187</v>
      </c>
      <c r="B24" s="441">
        <f t="shared" ca="1" si="2"/>
        <v>383.51027699434354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383.51027699434354</v>
      </c>
    </row>
    <row r="25" spans="1:17">
      <c r="A25" s="440" t="s">
        <v>105</v>
      </c>
      <c r="B25" s="441">
        <f t="shared" ca="1" si="2"/>
        <v>991.59566230012513</v>
      </c>
      <c r="C25" s="441">
        <f t="shared" ca="1" si="3"/>
        <v>6417.9983193277312</v>
      </c>
      <c r="D25" s="441">
        <f t="shared" si="4"/>
        <v>1421.4998878301744</v>
      </c>
      <c r="E25" s="441">
        <f t="shared" si="5"/>
        <v>23.205696680354297</v>
      </c>
      <c r="F25" s="441">
        <f t="shared" si="6"/>
        <v>5024.3381660784153</v>
      </c>
      <c r="G25" s="441">
        <f t="shared" si="7"/>
        <v>0</v>
      </c>
      <c r="H25" s="441">
        <f t="shared" si="8"/>
        <v>0</v>
      </c>
      <c r="I25" s="441">
        <f t="shared" si="9"/>
        <v>0</v>
      </c>
      <c r="J25" s="441">
        <f t="shared" si="10"/>
        <v>433.73363250691631</v>
      </c>
      <c r="K25" s="441">
        <f t="shared" si="11"/>
        <v>0</v>
      </c>
      <c r="L25" s="441">
        <f t="shared" si="12"/>
        <v>0</v>
      </c>
      <c r="M25" s="441">
        <f t="shared" si="13"/>
        <v>0</v>
      </c>
      <c r="N25" s="441">
        <f t="shared" si="14"/>
        <v>0</v>
      </c>
      <c r="O25" s="441">
        <f t="shared" si="15"/>
        <v>0</v>
      </c>
      <c r="P25" s="442">
        <f t="shared" si="16"/>
        <v>0</v>
      </c>
      <c r="Q25" s="440">
        <f t="shared" ca="1" si="17"/>
        <v>14312.371364723716</v>
      </c>
    </row>
    <row r="26" spans="1:17">
      <c r="A26" s="440" t="s">
        <v>600</v>
      </c>
      <c r="B26" s="441">
        <f t="shared" ca="1" si="2"/>
        <v>3672.3318684392934</v>
      </c>
      <c r="C26" s="441">
        <f t="shared" ca="1" si="3"/>
        <v>0</v>
      </c>
      <c r="D26" s="441">
        <f t="shared" si="4"/>
        <v>10040.708421908463</v>
      </c>
      <c r="E26" s="441">
        <f t="shared" si="5"/>
        <v>352.80867676500975</v>
      </c>
      <c r="F26" s="441">
        <f t="shared" si="6"/>
        <v>1752.1458810533911</v>
      </c>
      <c r="G26" s="441">
        <f t="shared" si="7"/>
        <v>0</v>
      </c>
      <c r="H26" s="441">
        <f t="shared" si="8"/>
        <v>0</v>
      </c>
      <c r="I26" s="441">
        <f t="shared" si="9"/>
        <v>0</v>
      </c>
      <c r="J26" s="441">
        <f t="shared" si="10"/>
        <v>42.323885230733637</v>
      </c>
      <c r="K26" s="441">
        <f t="shared" si="11"/>
        <v>0</v>
      </c>
      <c r="L26" s="441">
        <f t="shared" si="12"/>
        <v>0</v>
      </c>
      <c r="M26" s="441">
        <f t="shared" si="13"/>
        <v>0</v>
      </c>
      <c r="N26" s="441">
        <f t="shared" si="14"/>
        <v>0</v>
      </c>
      <c r="O26" s="441">
        <f t="shared" si="15"/>
        <v>0</v>
      </c>
      <c r="P26" s="442">
        <f t="shared" si="16"/>
        <v>0</v>
      </c>
      <c r="Q26" s="440">
        <f t="shared" ca="1" si="17"/>
        <v>15860.318733396889</v>
      </c>
    </row>
    <row r="27" spans="1:17" s="446" customFormat="1">
      <c r="A27" s="444" t="s">
        <v>549</v>
      </c>
      <c r="B27" s="708">
        <f t="shared" ca="1" si="2"/>
        <v>10.639035197958975</v>
      </c>
      <c r="C27" s="445">
        <f t="shared" ca="1" si="3"/>
        <v>0</v>
      </c>
      <c r="D27" s="445">
        <f t="shared" si="4"/>
        <v>16.747555228041403</v>
      </c>
      <c r="E27" s="445">
        <f t="shared" si="5"/>
        <v>94.915325810079892</v>
      </c>
      <c r="F27" s="445">
        <f t="shared" si="6"/>
        <v>0</v>
      </c>
      <c r="G27" s="445">
        <f t="shared" si="7"/>
        <v>45842.717123398987</v>
      </c>
      <c r="H27" s="445">
        <f t="shared" si="8"/>
        <v>7315.9749703775615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53280.994010012626</v>
      </c>
    </row>
    <row r="28" spans="1:17">
      <c r="A28" s="440" t="s">
        <v>539</v>
      </c>
      <c r="B28" s="441">
        <f t="shared" ca="1" si="2"/>
        <v>2.0307812664970419</v>
      </c>
      <c r="C28" s="441">
        <f t="shared" ca="1" si="3"/>
        <v>0</v>
      </c>
      <c r="D28" s="441">
        <f t="shared" si="4"/>
        <v>0</v>
      </c>
      <c r="E28" s="441">
        <f t="shared" si="5"/>
        <v>0</v>
      </c>
      <c r="F28" s="441">
        <f t="shared" si="6"/>
        <v>0</v>
      </c>
      <c r="G28" s="441">
        <f t="shared" si="7"/>
        <v>503.10857158167033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505.13935284816739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228.23047030741</v>
      </c>
      <c r="C32" s="441">
        <f t="shared" ca="1" si="3"/>
        <v>0</v>
      </c>
      <c r="D32" s="441">
        <f t="shared" si="4"/>
        <v>466.59410317580006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694.82457348321009</v>
      </c>
    </row>
    <row r="33" spans="1:17" s="450" customFormat="1">
      <c r="A33" s="956" t="s">
        <v>543</v>
      </c>
      <c r="B33" s="896">
        <f ca="1">SUM(B22:B32)</f>
        <v>18273.109774878081</v>
      </c>
      <c r="C33" s="896">
        <f t="shared" ref="C33:Q33" ca="1" si="18">SUM(C22:C32)</f>
        <v>6417.9983193277312</v>
      </c>
      <c r="D33" s="896">
        <f t="shared" ca="1" si="18"/>
        <v>32472.595372447337</v>
      </c>
      <c r="E33" s="896">
        <f t="shared" si="18"/>
        <v>1025.5491556623747</v>
      </c>
      <c r="F33" s="896">
        <f t="shared" ca="1" si="18"/>
        <v>23195.269951102597</v>
      </c>
      <c r="G33" s="896">
        <f t="shared" si="18"/>
        <v>46345.82569498066</v>
      </c>
      <c r="H33" s="896">
        <f t="shared" si="18"/>
        <v>7315.9749703775615</v>
      </c>
      <c r="I33" s="896">
        <f t="shared" si="18"/>
        <v>0</v>
      </c>
      <c r="J33" s="896">
        <f t="shared" si="18"/>
        <v>840.2401985101551</v>
      </c>
      <c r="K33" s="896">
        <f t="shared" si="18"/>
        <v>0</v>
      </c>
      <c r="L33" s="896">
        <f t="shared" ca="1" si="18"/>
        <v>0</v>
      </c>
      <c r="M33" s="896">
        <f t="shared" si="18"/>
        <v>0</v>
      </c>
      <c r="N33" s="896">
        <f t="shared" ca="1" si="18"/>
        <v>0</v>
      </c>
      <c r="O33" s="896">
        <f t="shared" si="18"/>
        <v>0</v>
      </c>
      <c r="P33" s="896">
        <f t="shared" si="18"/>
        <v>0</v>
      </c>
      <c r="Q33" s="896">
        <f t="shared" ca="1" si="18"/>
        <v>135886.56343728647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3174.9323310401801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10657.158666075327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18904.5</v>
      </c>
      <c r="D8" s="973">
        <f>'SEAP template'!D76</f>
        <v>22240.588235294119</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4492.5988235294126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13832.090997115507</v>
      </c>
      <c r="C10" s="977">
        <f>SUM(C4:C9)</f>
        <v>18904.5</v>
      </c>
      <c r="D10" s="977">
        <f t="shared" ref="D10:H10" si="0">SUM(D8:D9)</f>
        <v>22240.588235294119</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4492.5988235294126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0.19216274470487338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27006.428571428572</v>
      </c>
      <c r="D17" s="974">
        <f>'SEAP template'!D87</f>
        <v>31772.268907563026</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6417.9983193277312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27006.428571428572</v>
      </c>
      <c r="D20" s="977">
        <f t="shared" ref="D20:H20" si="2">SUM(D17:D19)</f>
        <v>31772.268907563026</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6417.9983193277312</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0.19216274470487338</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2022-07-26T11:07:47Z</dcterms:modified>
</cp:coreProperties>
</file>