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B5D2C847-4050-4367-972E-E708CFA7BCA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<sst xmlns="http://schemas.openxmlformats.org/spreadsheetml/2006/main" count="2416" uniqueCount="893">
  <si>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</si>
  <si>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</si>
  <si>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</si>
  <si>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</si>
  <si>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</si>
  <si>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</si>
  <si>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</si>
  <si>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</si>
  <si>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</si>
  <si>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</si>
  <si>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</si>
  <si>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</si>
  <si>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</si>
  <si>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</si>
  <si>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</si>
  <si>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</si>
  <si>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</si>
  <si>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</si>
  <si>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</si>
  <si>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</si>
  <si>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</si>
  <si>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</si>
  <si>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</si>
  <si>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</si>
  <si>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</si>
  <si>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</si>
  <si>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</si>
  <si>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</si>
  <si>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</si>
  <si>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</si>
  <si>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</si>
  <si>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</si>
  <si>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</si>
  <si>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</si>
  <si>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</si>
  <si>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</si>
  <si>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</si>
  <si>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</si>
  <si>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</si>
  <si>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</si>
  <si>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</si>
  <si>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</si>
  <si>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</si>
  <si>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</si>
  <si>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</si>
  <si>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</si>
  <si>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</si>
  <si>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</si>
  <si>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</si>
  <si>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</si>
  <si>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</si>
  <si>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</si>
  <si>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</si>
  <si>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</si>
  <si>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</si>
  <si>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</si>
  <si>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</si>
  <si>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</si>
  <si>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</si>
  <si>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</si>
  <si>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</si>
  <si>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</si>
  <si>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</si>
  <si>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</si>
  <si>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</si>
  <si>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</si>
  <si>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</si>
  <si>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</si>
  <si>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</si>
  <si>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</si>
  <si>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</si>
  <si>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</si>
  <si>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</si>
  <si>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</si>
  <si>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</si>
  <si>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</si>
  <si>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</si>
  <si>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</si>
  <si>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</si>
  <si>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</si>
  <si>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</si>
  <si>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</si>
  <si>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</si>
  <si>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</si>
  <si>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</si>
  <si>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</si>
  <si>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</si>
  <si>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</si>
  <si>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</si>
  <si>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</si>
  <si>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</si>
  <si>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</si>
  <si>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</si>
  <si>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</si>
  <si>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</si>
  <si>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</si>
  <si>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</si>
  <si>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</si>
  <si>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</si>
  <si>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</si>
  <si>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</si>
  <si>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</si>
  <si>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</si>
  <si>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</si>
  <si>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</si>
  <si>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</si>
  <si>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</si>
  <si>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</si>
  <si>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</si>
  <si>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</si>
  <si>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</si>
  <si>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</si>
  <si>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</si>
  <si>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</si>
  <si>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</si>
  <si>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</si>
  <si>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</si>
  <si>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</si>
  <si>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</si>
  <si>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</si>
  <si>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</si>
  <si>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</si>
  <si>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</si>
  <si>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</si>
  <si>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</si>
  <si>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</si>
  <si>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</si>
  <si>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</si>
  <si>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</si>
  <si>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</si>
  <si>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</si>
  <si>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</si>
  <si>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</si>
  <si>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</si>
  <si>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</si>
  <si>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</si>
  <si>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</si>
  <si>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</si>
  <si>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</si>
  <si>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</si>
  <si>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</si>
  <si>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</si>
  <si>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</si>
  <si>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</si>
  <si>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</si>
  <si>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</si>
  <si>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</si>
  <si>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</si>
  <si>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</si>
  <si>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</si>
  <si>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</si>
  <si>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</si>
  <si>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</si>
  <si>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</si>
  <si>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</si>
  <si>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</si>
  <si>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</si>
  <si>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</si>
  <si>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</si>
  <si>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</si>
  <si>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</si>
  <si>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</si>
  <si>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</si>
  <si>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</si>
  <si>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</si>
  <si>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</si>
  <si>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</si>
  <si>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</si>
  <si>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</si>
  <si>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</si>
  <si>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</si>
  <si>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</si>
  <si>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</si>
  <si>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</si>
  <si>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</si>
  <si>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</si>
  <si>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</si>
  <si>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</si>
  <si>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</si>
  <si>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</si>
  <si>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</si>
  <si>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</si>
  <si>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</si>
  <si>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</si>
  <si>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</si>
  <si>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</si>
  <si>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</si>
  <si>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</si>
  <si>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</si>
  <si>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</si>
  <si>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</si>
  <si>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</si>
  <si>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</si>
  <si>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</si>
  <si>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</si>
  <si>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</si>
  <si>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</si>
  <si>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</si>
  <si>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</si>
  <si>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</si>
  <si>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</si>
  <si>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</si>
  <si>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</si>
  <si>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</si>
  <si>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</si>
  <si>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</si>
  <si>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</si>
  <si>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</si>
  <si>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</si>
  <si>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</si>
  <si>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</si>
  <si>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</si>
  <si>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</si>
  <si>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</si>
  <si>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</si>
  <si>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</si>
  <si>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</si>
  <si>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</si>
  <si>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</si>
  <si>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</si>
  <si>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</si>
  <si>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</si>
  <si>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</si>
  <si>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</si>
  <si>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</si>
  <si>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</si>
  <si>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</si>
  <si>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</si>
  <si>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</si>
  <si>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</si>
  <si>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</si>
  <si>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</si>
  <si>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</si>
  <si>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</si>
  <si>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</si>
  <si>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</si>
  <si>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</si>
  <si>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</si>
  <si>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</si>
  <si>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</si>
  <si>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</si>
  <si>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</si>
  <si>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</si>
  <si>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</si>
  <si>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</si>
  <si>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</si>
  <si>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</si>
  <si>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</si>
  <si>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</si>
  <si>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</si>
  <si>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</si>
  <si>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</si>
  <si>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</si>
  <si>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</si>
  <si>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</si>
  <si>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</si>
  <si>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</si>
  <si>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</si>
  <si>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</si>
  <si>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</si>
  <si>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</si>
  <si>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</si>
  <si>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</si>
  <si>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</si>
  <si>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</si>
  <si>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</si>
  <si>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</si>
  <si>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</si>
  <si>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</si>
  <si>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</si>
  <si>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</si>
  <si>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</si>
  <si>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</si>
  <si>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</si>
  <si>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</si>
  <si>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</si>
  <si>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</si>
  <si>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</si>
  <si>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</si>
  <si>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</si>
  <si>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</si>
  <si>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</si>
  <si>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</si>
  <si>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</si>
  <si>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</si>
  <si>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</si>
  <si>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</si>
  <si>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</si>
  <si>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</si>
  <si>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</si>
  <si>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</si>
  <si>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</si>
  <si>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</si>
  <si>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</si>
  <si>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</si>
  <si>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</si>
  <si>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</si>
  <si>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</si>
  <si>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</si>
  <si>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</si>
  <si>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</si>
  <si>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</si>
  <si>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</si>
  <si>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</si>
  <si>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</si>
  <si>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</si>
  <si>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</si>
  <si>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</si>
  <si>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</si>
  <si>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</si>
  <si>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</si>
  <si>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</si>
  <si>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</si>
  <si>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</si>
  <si>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</si>
  <si>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</si>
  <si>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</si>
  <si>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</si>
  <si>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</si>
  <si>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</si>
  <si>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</si>
  <si>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</si>
  <si>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</si>
  <si>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</si>
  <si>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</si>
  <si>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</si>
  <si>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</si>
  <si>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</si>
  <si>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</si>
  <si>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</si>
  <si>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</si>
  <si>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</si>
  <si>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</si>
  <si>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</si>
  <si>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</si>
  <si>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</si>
  <si>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</si>
  <si>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</si>
  <si>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</si>
  <si>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</si>
  <si>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</si>
  <si>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</si>
  <si>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</si>
  <si>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</si>
  <si>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</si>
  <si>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</si>
  <si>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</si>
  <si>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</si>
  <si>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</si>
  <si>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</si>
  <si>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</si>
  <si>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</si>
  <si>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</si>
  <si>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</si>
  <si>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</si>
  <si>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</si>
  <si>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</si>
  <si>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</si>
  <si>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</si>
  <si>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</si>
  <si>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</si>
  <si>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</si>
  <si>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</si>
  <si>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</si>
  <si>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</si>
  <si>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</si>
  <si>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</si>
  <si>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</si>
  <si>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</si>
  <si>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</si>
  <si>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</si>
  <si>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</si>
  <si>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</si>
  <si>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</si>
  <si>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</si>
  <si>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</si>
  <si>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</si>
  <si>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</si>
  <si>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</si>
  <si>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</si>
  <si>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</si>
  <si>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</si>
  <si>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</si>
  <si>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</si>
  <si>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</si>
  <si>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</si>
  <si>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</si>
  <si>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</si>
  <si>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</si>
  <si>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</si>
  <si>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</si>
  <si>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</si>
  <si>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</si>
  <si>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</si>
  <si>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</si>
  <si>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</si>
  <si>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</si>
  <si>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</si>
  <si>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</si>
  <si>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</si>
  <si>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</si>
  <si>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</si>
  <si>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</si>
  <si>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</si>
  <si>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</si>
  <si>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</si>
  <si>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</si>
  <si>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</si>
  <si>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</si>
  <si>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</si>
  <si>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</si>
  <si>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</si>
  <si>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</si>
  <si>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</si>
  <si>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</si>
  <si>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</si>
  <si>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</si>
  <si>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</si>
  <si>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</si>
  <si>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</si>
  <si>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</si>
  <si>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</si>
  <si>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</si>
  <si>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</si>
  <si>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</si>
  <si>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</si>
  <si>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</si>
  <si>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</si>
  <si>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</si>
  <si>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</si>
  <si>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</si>
  <si>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</si>
  <si>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</si>
  <si>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</si>
  <si>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</si>
  <si>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</si>
  <si>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</si>
  <si>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</si>
  <si>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</si>
  <si>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</si>
  <si>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</si>
  <si>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</si>
  <si>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</si>
  <si>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</si>
  <si>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</si>
  <si>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</si>
  <si>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</si>
  <si>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</si>
  <si>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</si>
  <si>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</si>
  <si>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</si>
  <si>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</si>
  <si>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</si>
  <si>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</si>
  <si>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</si>
  <si>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</si>
  <si>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</si>
  <si>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</si>
  <si>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</si>
  <si>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</si>
  <si>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</si>
  <si>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</si>
  <si>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</si>
  <si>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</si>
  <si>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</si>
  <si>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</si>
  <si>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</si>
  <si>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</si>
  <si>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</si>
  <si>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</si>
  <si>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</si>
  <si>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</si>
  <si>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</si>
  <si>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</si>
  <si>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</si>
  <si>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</si>
  <si>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</si>
  <si>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</si>
  <si>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</si>
  <si>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</si>
  <si>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</si>
  <si>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</si>
  <si>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</si>
  <si>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</si>
  <si>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</si>
  <si>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</si>
  <si>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</si>
  <si>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</si>
  <si>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</si>
  <si>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</si>
  <si>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</si>
  <si>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</si>
  <si>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</si>
  <si>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</si>
  <si>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</si>
  <si>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</si>
  <si>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</si>
  <si>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</si>
  <si>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</si>
  <si>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</si>
  <si>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</si>
  <si>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</si>
  <si>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</si>
  <si>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</si>
  <si>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</si>
  <si>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</si>
  <si>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</si>
  <si>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</si>
  <si>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</si>
  <si>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</si>
  <si>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</si>
  <si>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</si>
  <si>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</si>
  <si>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</si>
  <si>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</si>
  <si>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</si>
  <si>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</si>
  <si>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</si>
  <si>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</si>
  <si>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</si>
  <si>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</si>
  <si>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</si>
  <si>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</si>
  <si>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</si>
  <si>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</si>
  <si>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</si>
  <si>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</si>
  <si>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</si>
  <si>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</si>
  <si>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</si>
  <si>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</si>
  <si>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</si>
  <si>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</si>
  <si>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</si>
  <si>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</si>
  <si>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</si>
  <si>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</si>
  <si>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</si>
  <si>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</si>
  <si>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</si>
  <si>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</si>
  <si>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</si>
  <si>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</si>
  <si>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</si>
  <si>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</si>
  <si>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</si>
  <si>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</si>
  <si>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</si>
  <si>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</si>
  <si>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</si>
  <si>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</si>
  <si>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</si>
  <si>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</si>
  <si>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</si>
  <si>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</si>
  <si>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</si>
  <si>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</si>
  <si>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</si>
  <si>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</si>
  <si>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</si>
  <si>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</si>
  <si>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</si>
  <si>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</si>
  <si>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</si>
  <si>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</si>
  <si>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</si>
  <si>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</si>
  <si>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</si>
  <si>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</si>
  <si>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</si>
  <si>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</si>
  <si>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</si>
  <si>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</si>
  <si>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</si>
  <si>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</si>
  <si>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</si>
  <si>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</si>
  <si>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</si>
  <si>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</si>
  <si>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</si>
  <si>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</si>
  <si>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</si>
  <si>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</si>
  <si>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</si>
  <si>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</si>
  <si>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</si>
  <si>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</si>
  <si>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</si>
  <si>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</si>
  <si>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</si>
  <si>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</si>
  <si>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</si>
  <si>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</si>
  <si>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</si>
  <si>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</si>
  <si>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</si>
  <si>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</si>
  <si>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</si>
  <si>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</si>
  <si>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</si>
  <si>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</si>
  <si>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</si>
  <si>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</si>
  <si>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</si>
  <si>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</si>
  <si>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</si>
  <si>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</si>
  <si>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</si>
  <si>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</si>
  <si>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</si>
  <si>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</si>
  <si>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</si>
  <si>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</si>
  <si>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</si>
  <si>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</si>
  <si>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</si>
  <si>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</si>
  <si>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</si>
  <si>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</si>
  <si>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</si>
  <si>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</si>
  <si>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</si>
  <si>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</si>
  <si>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</si>
  <si>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</si>
  <si>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</si>
  <si>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</si>
  <si>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</si>
  <si>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</si>
  <si>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</si>
  <si>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</si>
  <si>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</si>
  <si>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</si>
  <si>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</si>
  <si>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</si>
  <si>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</si>
  <si>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</si>
  <si>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</si>
  <si>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</si>
  <si>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</si>
  <si>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</si>
  <si>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</si>
  <si>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</si>
  <si>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</si>
  <si>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</si>
  <si>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</si>
  <si>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</si>
  <si>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</si>
  <si>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</si>
  <si>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</si>
  <si>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</si>
  <si>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</si>
  <si>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</si>
  <si>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</si>
  <si>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</si>
  <si>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</si>
  <si>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</si>
  <si>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</si>
  <si>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</si>
  <si>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</si>
  <si>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</si>
  <si>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</si>
  <si>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</si>
  <si>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</si>
  <si>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</si>
  <si>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</si>
  <si>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</si>
  <si>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</si>
  <si>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</si>
  <si>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</si>
  <si>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</si>
  <si>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</si>
  <si>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</si>
  <si>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</si>
  <si>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</si>
  <si>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</si>
  <si>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</si>
  <si>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</si>
  <si>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</si>
  <si>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</si>
  <si>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</si>
  <si>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</si>
  <si>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</si>
  <si>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</si>
  <si>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</si>
  <si>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</si>
  <si>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</si>
  <si>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</si>
  <si>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</si>
  <si>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</si>
  <si>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</si>
  <si>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</si>
  <si>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</si>
  <si>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</si>
  <si>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</si>
  <si>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</si>
  <si>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</si>
  <si>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</si>
  <si>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</si>
  <si>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</si>
  <si>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</si>
  <si>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</si>
  <si>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</si>
  <si>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</si>
  <si>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</si>
  <si>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</si>
  <si>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</si>
  <si>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</si>
  <si>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</si>
  <si>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</si>
  <si>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</si>
  <si>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</si>
  <si>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</si>
  <si>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</si>
  <si>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</si>
  <si>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</si>
  <si>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</si>
  <si>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</si>
  <si>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</si>
  <si>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</si>
  <si>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</si>
  <si>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</si>
  <si>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</si>
  <si>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</si>
  <si>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</si>
  <si>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</si>
  <si>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</si>
  <si>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</si>
  <si>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</si>
  <si>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</si>
  <si>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</si>
  <si>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</si>
  <si>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</si>
  <si>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</si>
  <si>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</si>
  <si>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</si>
  <si>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</si>
  <si>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</si>
  <si>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</si>
  <si>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</si>
  <si>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</si>
  <si>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</si>
  <si>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</si>
  <si>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</si>
  <si>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</si>
  <si>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</si>
  <si>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</si>
  <si>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</si>
  <si>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</si>
  <si>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</si>
  <si>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</si>
  <si>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</si>
  <si>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</si>
  <si>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</si>
  <si>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</si>
  <si>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</si>
  <si>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</si>
  <si>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</si>
  <si>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</si>
  <si>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</si>
  <si>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</si>
  <si>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</si>
  <si>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</si>
  <si>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</si>
  <si>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</si>
  <si>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</si>
  <si>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</si>
  <si>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</si>
  <si>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</si>
  <si>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</si>
  <si>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</si>
  <si>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</si>
  <si>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</si>
  <si>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</si>
  <si>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</si>
  <si>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</si>
  <si>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</si>
  <si>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</si>
  <si>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</si>
  <si>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</si>
  <si>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</si>
  <si>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</si>
  <si>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</si>
  <si>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</si>
  <si>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</si>
  <si>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</si>
  <si>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</si>
  <si>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</si>
  <si>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</si>
  <si>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</si>
  <si>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</si>
  <si>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</si>
  <si>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</si>
  <si>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</si>
  <si>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</si>
  <si>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</si>
  <si>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</si>
  <si>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</si>
  <si>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</si>
  <si>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</si>
  <si>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</si>
  <si>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</si>
  <si>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</si>
  <si>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</si>
  <si>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</si>
  <si>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</si>
  <si>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</si>
  <si>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</si>
  <si>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</si>
  <si>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</si>
  <si>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</si>
  <si>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</si>
  <si>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</si>
  <si>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</si>
  <si>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</si>
  <si>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</si>
  <si>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</si>
  <si>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</si>
  <si>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</si>
  <si>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</si>
  <si>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</si>
  <si>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</si>
  <si>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</si>
  <si>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</si>
  <si>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</si>
  <si>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</si>
  <si>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</si>
  <si>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</si>
  <si>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</si>
  <si>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</si>
  <si>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</si>
  <si>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</si>
  <si>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</si>
  <si>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</si>
  <si>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</si>
  <si>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</si>
  <si>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</si>
  <si>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</si>
  <si>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</si>
  <si>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</si>
  <si>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</si>
  <si>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</si>
  <si>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</si>
  <si>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</si>
  <si>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</si>
  <si>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</si>
  <si>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</si>
  <si>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</si>
  <si>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</si>
  <si>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</si>
  <si>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</si>
  <si>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</si>
  <si>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</si>
  <si>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</si>
  <si>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</si>
  <si>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</si>
  <si>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</si>
  <si>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</si>
  <si>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</si>
  <si>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</si>
  <si>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</si>
  <si>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</si>
  <si>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</si>
  <si>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</si>
  <si>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</si>
  <si>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</si>
  <si>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</si>
  <si>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</si>
  <si>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</si>
  <si>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</si>
  <si>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</si>
  <si>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</si>
  <si>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</si>
  <si>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</si>
  <si>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</si>
  <si>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</si>
  <si>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</si>
  <si>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</si>
  <si>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</si>
  <si>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</si>
  <si>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</si>
  <si>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</si>
  <si>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24045</t>
  </si>
  <si>
    <t>HULDENBERG</t>
  </si>
  <si>
    <t>Paarden&amp;pony's 200 - 600 kg</t>
  </si>
  <si>
    <t>Paarden&amp;pony's &lt; 200 kg</t>
  </si>
  <si>
    <t>vloeibaar gas (MWh)</t>
  </si>
  <si>
    <t>interne verbrandingsmotor</t>
  </si>
  <si>
    <t>WKK interne verbrandinsgmotor (vloeibaar)</t>
  </si>
  <si>
    <t>IVERLEK</t>
  </si>
  <si>
    <t>biogas - stortgas</t>
  </si>
  <si>
    <t>niet WKK interne verbrandingsmotor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</si>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</sst>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F2A74E21-84AF-4CD2-BFD4-4943EA46481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84804.279215822346</c:v>
                </c:pt>
                <c:pt idx="1">
                  <c:v>24270.72720816778</c:v>
                </c:pt>
                <c:pt idx="2">
                  <c:v>672.173</c:v>
                </c:pt>
                <c:pt idx="3">
                  <c:v>2472.7188701722866</c:v>
                </c:pt>
                <c:pt idx="4">
                  <c:v>2674.6065340406903</c:v>
                </c:pt>
                <c:pt idx="5">
                  <c:v>61012.703151588445</c:v>
                </c:pt>
                <c:pt idx="6">
                  <c:v>2436.4008335226167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84804.279215822346</c:v>
                </c:pt>
                <c:pt idx="1">
                  <c:v>24270.72720816778</c:v>
                </c:pt>
                <c:pt idx="2">
                  <c:v>672.173</c:v>
                </c:pt>
                <c:pt idx="3">
                  <c:v>2472.7188701722866</c:v>
                </c:pt>
                <c:pt idx="4">
                  <c:v>2674.6065340406903</c:v>
                </c:pt>
                <c:pt idx="5">
                  <c:v>61012.703151588445</c:v>
                </c:pt>
                <c:pt idx="6">
                  <c:v>2436.4008335226167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17746.718056539332</c:v>
                </c:pt>
                <c:pt idx="2">
                  <c:v>4731.0275033919224</c:v>
                </c:pt>
                <c:pt idx="3">
                  <c:v>118.14950324157957</c:v>
                </c:pt>
                <c:pt idx="4">
                  <c:v>619.95549851026976</c:v>
                </c:pt>
                <c:pt idx="5">
                  <c:v>525.85430556257506</c:v>
                </c:pt>
                <c:pt idx="6">
                  <c:v>15575.340397455118</c:v>
                </c:pt>
                <c:pt idx="7">
                  <c:v>629.73126532728065</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17746.718056539332</c:v>
                </c:pt>
                <c:pt idx="2">
                  <c:v>4731.0275033919224</c:v>
                </c:pt>
                <c:pt idx="3">
                  <c:v>118.14950324157957</c:v>
                </c:pt>
                <c:pt idx="4">
                  <c:v>619.95549851026976</c:v>
                </c:pt>
                <c:pt idx="5">
                  <c:v>525.85430556257506</c:v>
                </c:pt>
                <c:pt idx="6">
                  <c:v>15575.340397455118</c:v>
                </c:pt>
                <c:pt idx="7">
                  <c:v>629.73126532728065</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24045</v>
      </c>
      <c r="B6" s="380"/>
      <c r="C6" s="381"/>
    </row>
    <row r="7" spans="1:7" s="378" customFormat="1" ht="15.75" customHeight="1">
      <c r="A7" s="382" t="str">
        <f>txtMunicipality</f>
        <v>HULDENBERG</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0.17577246221073975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0.17577246221073975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3790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1807.49</v>
      </c>
      <c r="C14" s="322"/>
      <c r="D14" s="322"/>
      <c r="E14" s="322"/>
      <c r="F14" s="322"/>
    </row>
    <row r="15" spans="1:6">
      <c r="A15" s="1248" t="s">
        <v>177</v>
      </c>
      <c r="B15" s="1249">
        <v>12</v>
      </c>
      <c r="C15" s="322"/>
      <c r="D15" s="322"/>
      <c r="E15" s="322"/>
      <c r="F15" s="322"/>
    </row>
    <row r="16" spans="1:6">
      <c r="A16" s="1248" t="s">
        <v>6</v>
      </c>
      <c r="B16" s="1249">
        <v>417</v>
      </c>
      <c r="C16" s="322"/>
      <c r="D16" s="322"/>
      <c r="E16" s="322"/>
      <c r="F16" s="322"/>
    </row>
    <row r="17" spans="1:6">
      <c r="A17" s="1248" t="s">
        <v>7</v>
      </c>
      <c r="B17" s="1249">
        <v>371</v>
      </c>
      <c r="C17" s="322"/>
      <c r="D17" s="322"/>
      <c r="E17" s="322"/>
      <c r="F17" s="322"/>
    </row>
    <row r="18" spans="1:6">
      <c r="A18" s="1248" t="s">
        <v>8</v>
      </c>
      <c r="B18" s="1249">
        <v>518</v>
      </c>
      <c r="C18" s="322"/>
      <c r="D18" s="322"/>
      <c r="E18" s="322"/>
      <c r="F18" s="322"/>
    </row>
    <row r="19" spans="1:6">
      <c r="A19" s="1248" t="s">
        <v>9</v>
      </c>
      <c r="B19" s="1249">
        <v>465</v>
      </c>
      <c r="C19" s="322"/>
      <c r="D19" s="322"/>
      <c r="E19" s="322"/>
      <c r="F19" s="322"/>
    </row>
    <row r="20" spans="1:6">
      <c r="A20" s="1248" t="s">
        <v>10</v>
      </c>
      <c r="B20" s="1249">
        <v>439</v>
      </c>
      <c r="C20" s="322"/>
      <c r="D20" s="322"/>
      <c r="E20" s="322"/>
      <c r="F20" s="322"/>
    </row>
    <row r="21" spans="1:6">
      <c r="A21" s="1248" t="s">
        <v>11</v>
      </c>
      <c r="B21" s="1249">
        <v>0</v>
      </c>
      <c r="C21" s="322"/>
      <c r="D21" s="322"/>
      <c r="E21" s="322"/>
      <c r="F21" s="322"/>
    </row>
    <row r="22" spans="1:6">
      <c r="A22" s="1248" t="s">
        <v>12</v>
      </c>
      <c r="B22" s="1249">
        <v>588</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228</v>
      </c>
      <c r="C26" s="322"/>
      <c r="D26" s="322"/>
      <c r="E26" s="322"/>
      <c r="F26" s="322"/>
    </row>
    <row r="27" spans="1:6">
      <c r="A27" s="1248" t="s">
        <v>17</v>
      </c>
      <c r="B27" s="1249">
        <v>1</v>
      </c>
      <c r="C27" s="322"/>
      <c r="D27" s="322"/>
      <c r="E27" s="322"/>
      <c r="F27" s="322"/>
    </row>
    <row r="28" spans="1:6">
      <c r="A28" s="1248" t="s">
        <v>18</v>
      </c>
      <c r="B28" s="1250">
        <v>9</v>
      </c>
      <c r="C28" s="322"/>
      <c r="D28" s="322"/>
      <c r="E28" s="322"/>
      <c r="F28" s="322"/>
    </row>
    <row r="29" spans="1:6">
      <c r="A29" s="1248" t="s">
        <v>884</v>
      </c>
      <c r="B29" s="1250">
        <v>74</v>
      </c>
      <c r="C29" s="322"/>
      <c r="D29" s="322"/>
      <c r="E29" s="322"/>
      <c r="F29" s="322"/>
    </row>
    <row r="30" spans="1:6">
      <c r="A30" s="1243" t="s">
        <v>885</v>
      </c>
      <c r="B30" s="1251">
        <v>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7</v>
      </c>
      <c r="F36" s="1249">
        <v>8034.3655958999998</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0</v>
      </c>
    </row>
    <row r="39" spans="1:6">
      <c r="A39" s="1248" t="s">
        <v>29</v>
      </c>
      <c r="B39" s="1248" t="s">
        <v>30</v>
      </c>
      <c r="C39" s="1249">
        <v>1519</v>
      </c>
      <c r="D39" s="1249">
        <v>28999806.528999999</v>
      </c>
      <c r="E39" s="1249">
        <v>3617</v>
      </c>
      <c r="F39" s="1249">
        <v>15702747.76</v>
      </c>
    </row>
    <row r="40" spans="1:6">
      <c r="A40" s="1248" t="s">
        <v>29</v>
      </c>
      <c r="B40" s="1248" t="s">
        <v>28</v>
      </c>
      <c r="C40" s="1249">
        <v>0</v>
      </c>
      <c r="D40" s="1249">
        <v>0</v>
      </c>
      <c r="E40" s="1249">
        <v>0</v>
      </c>
      <c r="F40" s="1249">
        <v>0</v>
      </c>
    </row>
    <row r="41" spans="1:6">
      <c r="A41" s="1248" t="s">
        <v>31</v>
      </c>
      <c r="B41" s="1248" t="s">
        <v>32</v>
      </c>
      <c r="C41" s="1249">
        <v>9</v>
      </c>
      <c r="D41" s="1249">
        <v>161824.97742000001</v>
      </c>
      <c r="E41" s="1249">
        <v>66</v>
      </c>
      <c r="F41" s="1249">
        <v>493179.21237999998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21213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12</v>
      </c>
      <c r="D48" s="1249">
        <v>266908.44287999999</v>
      </c>
      <c r="E48" s="1249">
        <v>22</v>
      </c>
      <c r="F48" s="1249">
        <v>456931.57269</v>
      </c>
    </row>
    <row r="49" spans="1:6">
      <c r="A49" s="1248" t="s">
        <v>31</v>
      </c>
      <c r="B49" s="1248" t="s">
        <v>39</v>
      </c>
      <c r="C49" s="1249">
        <v>0</v>
      </c>
      <c r="D49" s="1249">
        <v>0</v>
      </c>
      <c r="E49" s="1249">
        <v>0</v>
      </c>
      <c r="F49" s="1249">
        <v>0</v>
      </c>
    </row>
    <row r="50" spans="1:6">
      <c r="A50" s="1248" t="s">
        <v>31</v>
      </c>
      <c r="B50" s="1248" t="s">
        <v>40</v>
      </c>
      <c r="C50" s="1249">
        <v>3</v>
      </c>
      <c r="D50" s="1249">
        <v>317299.16146999999</v>
      </c>
      <c r="E50" s="1249">
        <v>5</v>
      </c>
      <c r="F50" s="1249">
        <v>169784.80755</v>
      </c>
    </row>
    <row r="51" spans="1:6">
      <c r="A51" s="1248" t="s">
        <v>41</v>
      </c>
      <c r="B51" s="1248" t="s">
        <v>42</v>
      </c>
      <c r="C51" s="1249">
        <v>5</v>
      </c>
      <c r="D51" s="1249">
        <v>65084.480923000003</v>
      </c>
      <c r="E51" s="1249">
        <v>47</v>
      </c>
      <c r="F51" s="1249">
        <v>465910.49277000001</v>
      </c>
    </row>
    <row r="52" spans="1:6">
      <c r="A52" s="1248" t="s">
        <v>41</v>
      </c>
      <c r="B52" s="1248" t="s">
        <v>28</v>
      </c>
      <c r="C52" s="1249">
        <v>2</v>
      </c>
      <c r="D52" s="1249">
        <v>28915.451548000001</v>
      </c>
      <c r="E52" s="1249">
        <v>3</v>
      </c>
      <c r="F52" s="1249">
        <v>21027.919524000001</v>
      </c>
    </row>
    <row r="53" spans="1:6">
      <c r="A53" s="1248" t="s">
        <v>43</v>
      </c>
      <c r="B53" s="1248" t="s">
        <v>44</v>
      </c>
      <c r="C53" s="1249">
        <v>37</v>
      </c>
      <c r="D53" s="1249">
        <v>819369.34701000003</v>
      </c>
      <c r="E53" s="1249">
        <v>127</v>
      </c>
      <c r="F53" s="1249">
        <v>550271.00801999995</v>
      </c>
    </row>
    <row r="54" spans="1:6">
      <c r="A54" s="1248" t="s">
        <v>45</v>
      </c>
      <c r="B54" s="1248" t="s">
        <v>46</v>
      </c>
      <c r="C54" s="1249">
        <v>0</v>
      </c>
      <c r="D54" s="1249">
        <v>0</v>
      </c>
      <c r="E54" s="1249">
        <v>1</v>
      </c>
      <c r="F54" s="1249">
        <v>672173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7</v>
      </c>
      <c r="D57" s="1249">
        <v>203610.32120999999</v>
      </c>
      <c r="E57" s="1249">
        <v>33</v>
      </c>
      <c r="F57" s="1249">
        <v>2962518.4034000002</v>
      </c>
    </row>
    <row r="58" spans="1:6">
      <c r="A58" s="1248" t="s">
        <v>48</v>
      </c>
      <c r="B58" s="1248" t="s">
        <v>50</v>
      </c>
      <c r="C58" s="1249">
        <v>6</v>
      </c>
      <c r="D58" s="1249">
        <v>193947.15762000001</v>
      </c>
      <c r="E58" s="1249">
        <v>10</v>
      </c>
      <c r="F58" s="1249">
        <v>48861.899090999999</v>
      </c>
    </row>
    <row r="59" spans="1:6">
      <c r="A59" s="1248" t="s">
        <v>48</v>
      </c>
      <c r="B59" s="1248" t="s">
        <v>51</v>
      </c>
      <c r="C59" s="1249">
        <v>13</v>
      </c>
      <c r="D59" s="1249">
        <v>431692.16716999997</v>
      </c>
      <c r="E59" s="1249">
        <v>50</v>
      </c>
      <c r="F59" s="1249">
        <v>1407221.9238</v>
      </c>
    </row>
    <row r="60" spans="1:6">
      <c r="A60" s="1248" t="s">
        <v>48</v>
      </c>
      <c r="B60" s="1248" t="s">
        <v>52</v>
      </c>
      <c r="C60" s="1249">
        <v>9</v>
      </c>
      <c r="D60" s="1249">
        <v>298892.79626999999</v>
      </c>
      <c r="E60" s="1249">
        <v>23</v>
      </c>
      <c r="F60" s="1249">
        <v>290859.30615000002</v>
      </c>
    </row>
    <row r="61" spans="1:6">
      <c r="A61" s="1248" t="s">
        <v>48</v>
      </c>
      <c r="B61" s="1248" t="s">
        <v>53</v>
      </c>
      <c r="C61" s="1249">
        <v>54</v>
      </c>
      <c r="D61" s="1249">
        <v>3080750.0071999999</v>
      </c>
      <c r="E61" s="1249">
        <v>149</v>
      </c>
      <c r="F61" s="1249">
        <v>1765344.2249</v>
      </c>
    </row>
    <row r="62" spans="1:6">
      <c r="A62" s="1248" t="s">
        <v>48</v>
      </c>
      <c r="B62" s="1248" t="s">
        <v>54</v>
      </c>
      <c r="C62" s="1249">
        <v>0</v>
      </c>
      <c r="D62" s="1249">
        <v>0</v>
      </c>
      <c r="E62" s="1249">
        <v>3</v>
      </c>
      <c r="F62" s="1249">
        <v>526815.96843000001</v>
      </c>
    </row>
    <row r="63" spans="1:6">
      <c r="A63" s="1248" t="s">
        <v>48</v>
      </c>
      <c r="B63" s="1248" t="s">
        <v>28</v>
      </c>
      <c r="C63" s="1249">
        <v>69</v>
      </c>
      <c r="D63" s="1249">
        <v>4515700.6797000002</v>
      </c>
      <c r="E63" s="1249">
        <v>80</v>
      </c>
      <c r="F63" s="1249">
        <v>1405932.3541000001</v>
      </c>
    </row>
    <row r="64" spans="1:6">
      <c r="A64" s="1248" t="s">
        <v>55</v>
      </c>
      <c r="B64" s="1248" t="s">
        <v>56</v>
      </c>
      <c r="C64" s="1249">
        <v>0</v>
      </c>
      <c r="D64" s="1249">
        <v>0</v>
      </c>
      <c r="E64" s="1249">
        <v>0</v>
      </c>
      <c r="F64" s="1249">
        <v>0</v>
      </c>
    </row>
    <row r="65" spans="1:6">
      <c r="A65" s="1248" t="s">
        <v>55</v>
      </c>
      <c r="B65" s="1248" t="s">
        <v>28</v>
      </c>
      <c r="C65" s="1249">
        <v>1</v>
      </c>
      <c r="D65" s="1249">
        <v>34547.802205</v>
      </c>
      <c r="E65" s="1249">
        <v>1</v>
      </c>
      <c r="F65" s="1249">
        <v>5527.0505870999996</v>
      </c>
    </row>
    <row r="66" spans="1:6">
      <c r="A66" s="1248" t="s">
        <v>55</v>
      </c>
      <c r="B66" s="1248" t="s">
        <v>57</v>
      </c>
      <c r="C66" s="1249">
        <v>0</v>
      </c>
      <c r="D66" s="1249">
        <v>0</v>
      </c>
      <c r="E66" s="1249">
        <v>4</v>
      </c>
      <c r="F66" s="1249">
        <v>29678.035282000001</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140452.08751000001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35970011</v>
      </c>
      <c r="E73" s="439"/>
      <c r="F73" s="322"/>
    </row>
    <row r="74" spans="1:6">
      <c r="A74" s="1248" t="s">
        <v>63</v>
      </c>
      <c r="B74" s="1248" t="s">
        <v>626</v>
      </c>
      <c r="C74" s="1261" t="s">
        <v>628</v>
      </c>
      <c r="D74" s="1249">
        <v>1484370.1085035889</v>
      </c>
      <c r="E74" s="439"/>
      <c r="F74" s="322"/>
    </row>
    <row r="75" spans="1:6">
      <c r="A75" s="1248" t="s">
        <v>64</v>
      </c>
      <c r="B75" s="1248" t="s">
        <v>625</v>
      </c>
      <c r="C75" s="1261" t="s">
        <v>629</v>
      </c>
      <c r="D75" s="1249">
        <v>34294624</v>
      </c>
      <c r="E75" s="439"/>
      <c r="F75" s="322"/>
    </row>
    <row r="76" spans="1:6">
      <c r="A76" s="1248" t="s">
        <v>64</v>
      </c>
      <c r="B76" s="1248" t="s">
        <v>626</v>
      </c>
      <c r="C76" s="1261" t="s">
        <v>630</v>
      </c>
      <c r="D76" s="1249">
        <v>892664.10850358906</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658961.78299282189</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1905.9491485354013</v>
      </c>
      <c r="C91" s="322"/>
      <c r="D91" s="322"/>
      <c r="E91" s="322"/>
      <c r="F91" s="322"/>
    </row>
    <row r="92" spans="1:6">
      <c r="A92" s="1243" t="s">
        <v>68</v>
      </c>
      <c r="B92" s="1244">
        <v>96.121742854619697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519</v>
      </c>
      <c r="C97" s="322"/>
      <c r="D97" s="322"/>
      <c r="E97" s="322"/>
      <c r="F97" s="322"/>
    </row>
    <row r="98" spans="1:6">
      <c r="A98" s="1248" t="s">
        <v>71</v>
      </c>
      <c r="B98" s="1249">
        <v>1</v>
      </c>
      <c r="C98" s="322"/>
      <c r="D98" s="322"/>
      <c r="E98" s="322"/>
      <c r="F98" s="322"/>
    </row>
    <row r="99" spans="1:6">
      <c r="A99" s="1248" t="s">
        <v>72</v>
      </c>
      <c r="B99" s="1249">
        <v>94</v>
      </c>
      <c r="C99" s="322"/>
      <c r="D99" s="322"/>
      <c r="E99" s="322"/>
      <c r="F99" s="322"/>
    </row>
    <row r="100" spans="1:6">
      <c r="A100" s="1248" t="s">
        <v>73</v>
      </c>
      <c r="B100" s="1249">
        <v>266</v>
      </c>
      <c r="C100" s="322"/>
      <c r="D100" s="322"/>
      <c r="E100" s="322"/>
      <c r="F100" s="322"/>
    </row>
    <row r="101" spans="1:6">
      <c r="A101" s="1248" t="s">
        <v>74</v>
      </c>
      <c r="B101" s="1249">
        <v>58</v>
      </c>
      <c r="C101" s="322"/>
      <c r="D101" s="322"/>
      <c r="E101" s="322"/>
      <c r="F101" s="322"/>
    </row>
    <row r="102" spans="1:6">
      <c r="A102" s="1248" t="s">
        <v>75</v>
      </c>
      <c r="B102" s="1249">
        <v>47</v>
      </c>
      <c r="C102" s="322"/>
      <c r="D102" s="322"/>
      <c r="E102" s="322"/>
      <c r="F102" s="322"/>
    </row>
    <row r="103" spans="1:6">
      <c r="A103" s="1248" t="s">
        <v>76</v>
      </c>
      <c r="B103" s="1249">
        <v>96</v>
      </c>
      <c r="C103" s="322"/>
      <c r="D103" s="322"/>
      <c r="E103" s="322"/>
      <c r="F103" s="322"/>
    </row>
    <row r="104" spans="1:6">
      <c r="A104" s="1248" t="s">
        <v>77</v>
      </c>
      <c r="B104" s="1249">
        <v>2219</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15</v>
      </c>
      <c r="C123" s="1249">
        <v>17</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92</v>
      </c>
      <c r="C129" s="322"/>
      <c r="D129" s="322"/>
      <c r="E129" s="322"/>
      <c r="F129" s="322"/>
    </row>
    <row r="130" spans="1:6">
      <c r="A130" s="1248" t="s">
        <v>284</v>
      </c>
      <c r="B130" s="1249">
        <v>3</v>
      </c>
      <c r="C130" s="322"/>
      <c r="D130" s="322"/>
      <c r="E130" s="322"/>
      <c r="F130" s="322"/>
    </row>
    <row r="131" spans="1:6">
      <c r="A131" s="1248" t="s">
        <v>285</v>
      </c>
      <c r="B131" s="1249">
        <v>0</v>
      </c>
      <c r="C131" s="322"/>
      <c r="D131" s="322"/>
      <c r="E131" s="322"/>
      <c r="F131" s="322"/>
    </row>
    <row r="132" spans="1:6">
      <c r="A132" s="1243" t="s">
        <v>286</v>
      </c>
      <c r="B132" s="1244">
        <v>11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33816.701986380896</v>
      </c>
      <c r="C3" s="43" t="s">
        <v>163</v>
      </c>
      <c r="D3" s="43"/>
      <c r="E3" s="153"/>
      <c r="F3" s="43"/>
      <c r="G3" s="43"/>
      <c r="H3" s="43"/>
      <c r="I3" s="43"/>
      <c r="J3" s="43"/>
      <c r="K3" s="96"/>
    </row>
    <row r="4" spans="1:11">
      <c r="A4" s="348" t="s">
        <v>164</v>
      </c>
      <c r="B4" s="49">
        <f>IF(ISERROR('SEAP template'!B78+'SEAP template'!C78),0,'SEAP template'!B78+'SEAP template'!C78)</f>
        <v>6920.5708913900207</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0.17577246221073975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60.75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672.173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672.173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0.17577246221073975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118.14950324157957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15702.74776</v>
      </c>
      <c r="C5" s="17">
        <f>IF(ISERROR('Eigen informatie GS &amp; warmtenet'!B57),0,'Eigen informatie GS &amp; warmtenet'!B57)</f>
        <v>0</v>
      </c>
      <c r="D5" s="30">
        <f>(SUM(HH_hh_gas_kWh,HH_rest_gas_kWh)/1000)*0.902</f>
        <v>26157.825489158</v>
      </c>
      <c r="E5" s="17">
        <f>B32*B41</f>
        <v>1222.3493493209592</v>
      </c>
      <c r="F5" s="17">
        <f>B36*B45</f>
        <v>33233.259324397273</v>
      </c>
      <c r="G5" s="18"/>
      <c r="H5" s="17"/>
      <c r="I5" s="17"/>
      <c r="J5" s="17">
        <f>B35*B44+C35*C44</f>
        <v>612.88066068806859</v>
      </c>
      <c r="K5" s="17"/>
      <c r="L5" s="17"/>
      <c r="M5" s="17"/>
      <c r="N5" s="17">
        <f>B34*B43+C34*C43</f>
        <v>5303.1308170559696</v>
      </c>
      <c r="O5" s="17">
        <f>B52*B53*B54</f>
        <v>170.40333333333334</v>
      </c>
      <c r="P5" s="17">
        <f>B60*B61*B62/1000-B60*B61*B62/1000/B63</f>
        <v>495.73333333333335</v>
      </c>
    </row>
    <row r="6" spans="1:16">
      <c r="A6" s="16" t="s">
        <v>586</v>
      </c>
      <c r="B6" s="716">
        <f>kWh_PV_kleiner_dan_10kW</f>
        <v>1905.9491485354013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17608.696908535403</v>
      </c>
      <c r="C8" s="21">
        <f>C5</f>
        <v>0</v>
      </c>
      <c r="D8" s="21">
        <f>D5</f>
        <v>26157.825489158</v>
      </c>
      <c r="E8" s="21">
        <f>E5</f>
        <v>1222.3493493209592</v>
      </c>
      <c r="F8" s="21">
        <f>F5</f>
        <v>33233.259324397273</v>
      </c>
      <c r="G8" s="21"/>
      <c r="H8" s="21"/>
      <c r="I8" s="21"/>
      <c r="J8" s="21">
        <f>J5</f>
        <v>612.88066068806859</v>
      </c>
      <c r="K8" s="21"/>
      <c r="L8" s="21">
        <f>L5</f>
        <v>0</v>
      </c>
      <c r="M8" s="21">
        <f>M5</f>
        <v>0</v>
      </c>
      <c r="N8" s="21">
        <f>N5</f>
        <v>5303.1308170559696</v>
      </c>
      <c r="O8" s="21">
        <f>O5</f>
        <v>170.40333333333334</v>
      </c>
      <c r="P8" s="21">
        <f>P5</f>
        <v>495.73333333333335</v>
      </c>
    </row>
    <row r="9" spans="1:16">
      <c r="B9" s="19"/>
      <c r="C9" s="19"/>
      <c r="D9" s="253"/>
      <c r="E9" s="19"/>
      <c r="F9" s="19"/>
      <c r="G9" s="19"/>
      <c r="H9" s="19"/>
      <c r="I9" s="19"/>
      <c r="J9" s="19"/>
      <c r="K9" s="19"/>
      <c r="L9" s="19"/>
      <c r="M9" s="19"/>
      <c r="N9" s="19"/>
      <c r="O9" s="19"/>
      <c r="P9" s="19"/>
    </row>
    <row r="10" spans="1:16">
      <c r="A10" s="24" t="s">
        <v>207</v>
      </c>
      <c r="B10" s="25">
        <f ca="1">'EF ele_warmte'!B12</f>
        <v>0.17577246221073975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3095.124011935909</v>
      </c>
      <c r="C12" s="23">
        <f ca="1">C10*C8</f>
        <v>0</v>
      </c>
      <c r="D12" s="23">
        <f>D8*D10</f>
        <v>5283.8807488099164</v>
      </c>
      <c r="E12" s="23">
        <f>E10*E8</f>
        <v>277.47330229585776</v>
      </c>
      <c r="F12" s="23">
        <f>F10*F8</f>
        <v>8873.2802396140723</v>
      </c>
      <c r="G12" s="23"/>
      <c r="H12" s="23"/>
      <c r="I12" s="23"/>
      <c r="J12" s="23">
        <f>J10*J8</f>
        <v>216.95975388357627</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3790</v>
      </c>
      <c r="C26" s="36"/>
      <c r="D26" s="224"/>
    </row>
    <row r="27" spans="1:5" s="15" customFormat="1">
      <c r="A27" s="226" t="s">
        <v>655</v>
      </c>
      <c r="B27" s="37">
        <f>SUM(HH_hh_gas_aantal,HH_rest_gas_aantal)</f>
        <v>1519</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1443.05</v>
      </c>
      <c r="C31" s="34" t="s">
        <v>104</v>
      </c>
      <c r="D31" s="170"/>
    </row>
    <row r="32" spans="1:5">
      <c r="A32" s="167" t="s">
        <v>72</v>
      </c>
      <c r="B32" s="33">
        <f>IF((B21*($B$26-($B$27-0.05*$B$27)-$B$60))&lt;0,0,B21*($B$26-($B$27-0.05*$B$27)-$B$60))</f>
        <v>14.978081003863757</v>
      </c>
      <c r="C32" s="34" t="s">
        <v>104</v>
      </c>
      <c r="D32" s="170"/>
    </row>
    <row r="33" spans="1:6">
      <c r="A33" s="167" t="s">
        <v>73</v>
      </c>
      <c r="B33" s="33">
        <f>IF((B22*($B$26-($B$27-0.05*$B$27)-$B$60))&lt;0,0,B22*($B$26-($B$27-0.05*$B$27)-$B$60))</f>
        <v>521.59119164659228</v>
      </c>
      <c r="C33" s="34" t="s">
        <v>104</v>
      </c>
      <c r="D33" s="170"/>
    </row>
    <row r="34" spans="1:6">
      <c r="A34" s="167" t="s">
        <v>74</v>
      </c>
      <c r="B34" s="33">
        <f>IF((B24*($B$26-($B$27-0.05*$B$27)-$B$60))&lt;0,0,B24*($B$26-($B$27-0.05*$B$27)-$B$60))</f>
        <v>103.5773224077325</v>
      </c>
      <c r="C34" s="33">
        <f>B26*C24</f>
        <v>775.67027011094183</v>
      </c>
      <c r="D34" s="229"/>
    </row>
    <row r="35" spans="1:6">
      <c r="A35" s="167" t="s">
        <v>76</v>
      </c>
      <c r="B35" s="33">
        <f>IF((B19*($B$26-($B$27-0.05*$B$27)-$B$60))&lt;0,0,B19*($B$26-($B$27-0.05*$B$27)-$B$60))</f>
        <v>50.582024182892631</v>
      </c>
      <c r="C35" s="33">
        <f>B35/2</f>
        <v>25.291012091446316</v>
      </c>
      <c r="D35" s="229"/>
    </row>
    <row r="36" spans="1:6">
      <c r="A36" s="167" t="s">
        <v>77</v>
      </c>
      <c r="B36" s="33">
        <f>IF((B18*($B$26-($B$27-0.05*$B$27)-$B$60))&lt;0,0,B18*($B$26-($B$27-0.05*$B$27)-$B$60))</f>
        <v>1630.2213807589194</v>
      </c>
      <c r="C36" s="34" t="s">
        <v>104</v>
      </c>
      <c r="D36" s="170"/>
    </row>
    <row r="37" spans="1:6">
      <c r="A37" s="167" t="s">
        <v>78</v>
      </c>
      <c r="B37" s="33">
        <f>B60</f>
        <v>26</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109</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26</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8407.5540798710008</v>
      </c>
      <c r="C5" s="17">
        <f>IF(ISERROR('Eigen informatie GS &amp; warmtenet'!B58),0,'Eigen informatie GS &amp; warmtenet'!B58)</f>
        <v>0</v>
      </c>
      <c r="D5" s="30">
        <f>SUM(D6:D12)</f>
        <v>7869.583002511341</v>
      </c>
      <c r="E5" s="17">
        <f>SUM(E6:E12)</f>
        <v>114.03934915186035</v>
      </c>
      <c r="F5" s="17">
        <f>SUM(F6:F12)</f>
        <v>2895.571810040552</v>
      </c>
      <c r="G5" s="18"/>
      <c r="H5" s="17"/>
      <c r="I5" s="17"/>
      <c r="J5" s="17">
        <f>SUM(J6:J12)</f>
        <v>3.8966593028988861E-2</v>
      </c>
      <c r="K5" s="17"/>
      <c r="L5" s="17"/>
      <c r="M5" s="17"/>
      <c r="N5" s="17">
        <f>SUM(N6:N12)</f>
        <v>1364.4599682005023</v>
      </c>
      <c r="O5" s="17">
        <f>B38*B39*B40</f>
        <v>4.6900000000000004</v>
      </c>
      <c r="P5" s="17">
        <f>B46*B47*B48/1000-B46*B47*B48/1000/B49</f>
        <v>0</v>
      </c>
      <c r="R5" s="32"/>
    </row>
    <row r="6" spans="1:18">
      <c r="A6" s="32" t="s">
        <v>53</v>
      </c>
      <c r="B6" s="37">
        <f>B26</f>
        <v>1765.3442249</v>
      </c>
      <c r="C6" s="33"/>
      <c r="D6" s="37">
        <f>IF(ISERROR(TER_kantoor_gas_kWh/1000),0,TER_kantoor_gas_kWh/1000)*0.902</f>
        <v>2778.8365064944001</v>
      </c>
      <c r="E6" s="33">
        <f>$C$26*'E Balans VL '!I12/100/3.6*1000000</f>
        <v>1.0050397476105743E-18</v>
      </c>
      <c r="F6" s="33">
        <f>$C$26*('E Balans VL '!L12+'E Balans VL '!N12)/100/3.6*1000000</f>
        <v>238.64545131017425</v>
      </c>
      <c r="G6" s="34"/>
      <c r="H6" s="33"/>
      <c r="I6" s="33"/>
      <c r="J6" s="33">
        <f>$C$26*('E Balans VL '!D12+'E Balans VL '!E12)/100/3.6*1000000</f>
        <v>0</v>
      </c>
      <c r="K6" s="33"/>
      <c r="L6" s="33"/>
      <c r="M6" s="33"/>
      <c r="N6" s="33">
        <f>$C$26*'E Balans VL '!Y12/100/3.6*1000000</f>
        <v>2.218678988393894</v>
      </c>
      <c r="O6" s="33"/>
      <c r="P6" s="33"/>
      <c r="R6" s="32"/>
    </row>
    <row r="7" spans="1:18">
      <c r="A7" s="32" t="s">
        <v>52</v>
      </c>
      <c r="B7" s="37">
        <f t="shared" ref="B7:B12" si="0">B27</f>
        <v>290.85930615000001</v>
      </c>
      <c r="C7" s="33"/>
      <c r="D7" s="37">
        <f>IF(ISERROR(TER_horeca_gas_kWh/1000),0,TER_horeca_gas_kWh/1000)*0.902</f>
        <v>269.60130223554</v>
      </c>
      <c r="E7" s="33">
        <f>$C$27*'E Balans VL '!I9/100/3.6*1000000</f>
        <v>3.7148651824665722</v>
      </c>
      <c r="F7" s="33">
        <f>$C$27*('E Balans VL '!L9+'E Balans VL '!N9)/100/3.6*1000000</f>
        <v>32.851251749173478</v>
      </c>
      <c r="G7" s="34"/>
      <c r="H7" s="33"/>
      <c r="I7" s="33"/>
      <c r="J7" s="33">
        <f>$C$27*('E Balans VL '!D9+'E Balans VL '!E9)/100/3.6*1000000</f>
        <v>0</v>
      </c>
      <c r="K7" s="33"/>
      <c r="L7" s="33"/>
      <c r="M7" s="33"/>
      <c r="N7" s="33">
        <f>$C$27*'E Balans VL '!Y9/100/3.6*1000000</f>
        <v>6.9313007283912445E-2</v>
      </c>
      <c r="O7" s="33"/>
      <c r="P7" s="33"/>
      <c r="R7" s="32"/>
    </row>
    <row r="8" spans="1:18">
      <c r="A8" s="6" t="s">
        <v>51</v>
      </c>
      <c r="B8" s="37">
        <f t="shared" si="0"/>
        <v>1407.2219238</v>
      </c>
      <c r="C8" s="33"/>
      <c r="D8" s="37">
        <f>IF(ISERROR(TER_handel_gas_kWh/1000),0,TER_handel_gas_kWh/1000)*0.902</f>
        <v>389.38633478733999</v>
      </c>
      <c r="E8" s="33">
        <f>$C$28*'E Balans VL '!I13/100/3.6*1000000</f>
        <v>45.957583949795527</v>
      </c>
      <c r="F8" s="33">
        <f>$C$28*('E Balans VL '!L13+'E Balans VL '!N13)/100/3.6*1000000</f>
        <v>243.64904220168842</v>
      </c>
      <c r="G8" s="34"/>
      <c r="H8" s="33"/>
      <c r="I8" s="33"/>
      <c r="J8" s="33">
        <f>$C$28*('E Balans VL '!D13+'E Balans VL '!E13)/100/3.6*1000000</f>
        <v>0</v>
      </c>
      <c r="K8" s="33"/>
      <c r="L8" s="33"/>
      <c r="M8" s="33"/>
      <c r="N8" s="33">
        <f>$C$28*'E Balans VL '!Y13/100/3.6*1000000</f>
        <v>1.6562611682370367</v>
      </c>
      <c r="O8" s="33"/>
      <c r="P8" s="33"/>
      <c r="R8" s="32"/>
    </row>
    <row r="9" spans="1:18">
      <c r="A9" s="32" t="s">
        <v>50</v>
      </c>
      <c r="B9" s="37">
        <f t="shared" si="0"/>
        <v>48.861899090999998</v>
      </c>
      <c r="C9" s="33"/>
      <c r="D9" s="37">
        <f>IF(ISERROR(TER_gezond_gas_kWh/1000),0,TER_gezond_gas_kWh/1000)*0.902</f>
        <v>174.94033617324001</v>
      </c>
      <c r="E9" s="33">
        <f>$C$29*'E Balans VL '!I10/100/3.6*1000000</f>
        <v>2.7285712198015554E-3</v>
      </c>
      <c r="F9" s="33">
        <f>$C$29*('E Balans VL '!L10+'E Balans VL '!N10)/100/3.6*1000000</f>
        <v>6.4740198564109583</v>
      </c>
      <c r="G9" s="34"/>
      <c r="H9" s="33"/>
      <c r="I9" s="33"/>
      <c r="J9" s="33">
        <f>$C$29*('E Balans VL '!D10+'E Balans VL '!E10)/100/3.6*1000000</f>
        <v>0</v>
      </c>
      <c r="K9" s="33"/>
      <c r="L9" s="33"/>
      <c r="M9" s="33"/>
      <c r="N9" s="33">
        <f>$C$29*'E Balans VL '!Y10/100/3.6*1000000</f>
        <v>0.51790328875334846</v>
      </c>
      <c r="O9" s="33"/>
      <c r="P9" s="33"/>
      <c r="R9" s="32"/>
    </row>
    <row r="10" spans="1:18">
      <c r="A10" s="32" t="s">
        <v>49</v>
      </c>
      <c r="B10" s="37">
        <f t="shared" si="0"/>
        <v>2962.5184034000004</v>
      </c>
      <c r="C10" s="33"/>
      <c r="D10" s="37">
        <f>IF(ISERROR(TER_ander_gas_kWh/1000),0,TER_ander_gas_kWh/1000)*0.902</f>
        <v>183.65650973141999</v>
      </c>
      <c r="E10" s="33">
        <f>$C$30*'E Balans VL '!I14/100/3.6*1000000</f>
        <v>38.256259793768407</v>
      </c>
      <c r="F10" s="33">
        <f>$C$30*('E Balans VL '!L14+'E Balans VL '!N14)/100/3.6*1000000</f>
        <v>1955.473454153894</v>
      </c>
      <c r="G10" s="34"/>
      <c r="H10" s="33"/>
      <c r="I10" s="33"/>
      <c r="J10" s="33">
        <f>$C$30*('E Balans VL '!D14+'E Balans VL '!E14)/100/3.6*1000000</f>
        <v>3.58885829551885E-2</v>
      </c>
      <c r="K10" s="33"/>
      <c r="L10" s="33"/>
      <c r="M10" s="33"/>
      <c r="N10" s="33">
        <f>$C$30*'E Balans VL '!Y14/100/3.6*1000000</f>
        <v>1249.2819486172314</v>
      </c>
      <c r="O10" s="33"/>
      <c r="P10" s="33"/>
      <c r="R10" s="32"/>
    </row>
    <row r="11" spans="1:18">
      <c r="A11" s="32" t="s">
        <v>54</v>
      </c>
      <c r="B11" s="37">
        <f t="shared" si="0"/>
        <v>526.81596843</v>
      </c>
      <c r="C11" s="33"/>
      <c r="D11" s="37">
        <f>IF(ISERROR(TER_onderwijs_gas_kWh/1000),0,TER_onderwijs_gas_kWh/1000)*0.902</f>
        <v>0</v>
      </c>
      <c r="E11" s="33">
        <f>$C$31*'E Balans VL '!I11/100/3.6*1000000</f>
        <v>7.0896360317149743</v>
      </c>
      <c r="F11" s="33">
        <f>$C$31*('E Balans VL '!L11+'E Balans VL '!N11)/100/3.6*1000000</f>
        <v>82.329363625641079</v>
      </c>
      <c r="G11" s="34"/>
      <c r="H11" s="33"/>
      <c r="I11" s="33"/>
      <c r="J11" s="33">
        <f>$C$31*('E Balans VL '!D11+'E Balans VL '!E11)/100/3.6*1000000</f>
        <v>0</v>
      </c>
      <c r="K11" s="33"/>
      <c r="L11" s="33"/>
      <c r="M11" s="33"/>
      <c r="N11" s="33">
        <f>$C$31*'E Balans VL '!Y11/100/3.6*1000000</f>
        <v>1.2164430344617099</v>
      </c>
      <c r="O11" s="33"/>
      <c r="P11" s="33"/>
      <c r="R11" s="32"/>
    </row>
    <row r="12" spans="1:18">
      <c r="A12" s="32" t="s">
        <v>249</v>
      </c>
      <c r="B12" s="37">
        <f t="shared" si="0"/>
        <v>1405.9323541000001</v>
      </c>
      <c r="C12" s="33"/>
      <c r="D12" s="37">
        <f>IF(ISERROR(TER_rest_gas_kWh/1000),0,TER_rest_gas_kWh/1000)*0.902</f>
        <v>4073.1620130894003</v>
      </c>
      <c r="E12" s="33">
        <f>$C$32*'E Balans VL '!I8/100/3.6*1000000</f>
        <v>19.018275622895061</v>
      </c>
      <c r="F12" s="33">
        <f>$C$32*('E Balans VL '!L8+'E Balans VL '!N8)/100/3.6*1000000</f>
        <v>336.14922714356993</v>
      </c>
      <c r="G12" s="34"/>
      <c r="H12" s="33"/>
      <c r="I12" s="33"/>
      <c r="J12" s="33">
        <f>$C$32*('E Balans VL '!D8+'E Balans VL '!E8)/100/3.6*1000000</f>
        <v>3.0780100738003629E-3</v>
      </c>
      <c r="K12" s="33"/>
      <c r="L12" s="33"/>
      <c r="M12" s="33"/>
      <c r="N12" s="33">
        <f>$C$32*'E Balans VL '!Y8/100/3.6*1000000</f>
        <v>109.49942009614099</v>
      </c>
      <c r="O12" s="33"/>
      <c r="P12" s="33"/>
      <c r="R12" s="32"/>
    </row>
    <row r="13" spans="1:18">
      <c r="A13" s="16" t="s">
        <v>477</v>
      </c>
      <c r="B13" s="242">
        <f ca="1">'lokale energieproductie'!N38+'lokale energieproductie'!N31</f>
        <v>4918.5</v>
      </c>
      <c r="C13" s="242">
        <f ca="1">'lokale energieproductie'!O38+'lokale energieproductie'!O31</f>
        <v>60.75</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-135</v>
      </c>
      <c r="M13" s="243"/>
      <c r="N13" s="300">
        <f ca="1">('lokale energieproductie'!Q31+'lokale energieproductie'!R31+'lokale energieproductie'!V31+'lokale energieproductie'!Q38+'lokale energieproductie'!R38+'lokale energieproductie'!V38)*(-1)</f>
        <v>-13898.571428571429</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13326.054079871001</v>
      </c>
      <c r="C16" s="21">
        <f t="shared" ca="1" si="1"/>
        <v>60.75</v>
      </c>
      <c r="D16" s="21">
        <f t="shared" ca="1" si="1"/>
        <v>7869.583002511341</v>
      </c>
      <c r="E16" s="21">
        <f t="shared" si="1"/>
        <v>114.03934915186035</v>
      </c>
      <c r="F16" s="21">
        <f t="shared" ca="1" si="1"/>
        <v>2895.571810040552</v>
      </c>
      <c r="G16" s="21">
        <f t="shared" si="1"/>
        <v>0</v>
      </c>
      <c r="H16" s="21">
        <f t="shared" si="1"/>
        <v>0</v>
      </c>
      <c r="I16" s="21">
        <f t="shared" si="1"/>
        <v>0</v>
      </c>
      <c r="J16" s="21">
        <f t="shared" si="1"/>
        <v>3.8966593028988861E-2</v>
      </c>
      <c r="K16" s="21">
        <f t="shared" si="1"/>
        <v>0</v>
      </c>
      <c r="L16" s="21">
        <f t="shared" ca="1" si="1"/>
        <v>0</v>
      </c>
      <c r="M16" s="21">
        <f t="shared" si="1"/>
        <v>0</v>
      </c>
      <c r="N16" s="21">
        <f t="shared" ca="1" si="1"/>
        <v>0</v>
      </c>
      <c r="O16" s="21">
        <f>O5</f>
        <v>4.6900000000000004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0.17577246221073975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2342.3533371723997</v>
      </c>
      <c r="C20" s="23">
        <f t="shared" ref="C20:P20" ca="1" si="2">C16*C18</f>
        <v>0</v>
      </c>
      <c r="D20" s="23">
        <f t="shared" ca="1" si="2"/>
        <v>1589.655766507291</v>
      </c>
      <c r="E20" s="23">
        <f t="shared" si="2"/>
        <v>25.886932257472299</v>
      </c>
      <c r="F20" s="23">
        <f t="shared" ca="1" si="2"/>
        <v>773.11767328082738</v>
      </c>
      <c r="G20" s="23">
        <f t="shared" si="2"/>
        <v>0</v>
      </c>
      <c r="H20" s="23">
        <f t="shared" si="2"/>
        <v>0</v>
      </c>
      <c r="I20" s="23">
        <f t="shared" si="2"/>
        <v>0</v>
      </c>
      <c r="J20" s="23">
        <f t="shared" si="2"/>
        <v>1.3794173932262056E-2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1765.3442249</v>
      </c>
      <c r="C26" s="39">
        <f>IF(ISERROR(B26*3.6/1000000/'E Balans VL '!Z12*100),0,B26*3.6/1000000/'E Balans VL '!Z12*100)</f>
        <v>4.7366323996999644E-2</v>
      </c>
      <c r="D26" s="232" t="s">
        <v>621</v>
      </c>
      <c r="F26" s="6"/>
    </row>
    <row r="27" spans="1:18">
      <c r="A27" s="227" t="s">
        <v>52</v>
      </c>
      <c r="B27" s="33">
        <f>IF(ISERROR(TER_horeca_ele_kWh/1000),0,TER_horeca_ele_kWh/1000)</f>
        <v>290.85930615000001</v>
      </c>
      <c r="C27" s="39">
        <f>IF(ISERROR(B27*3.6/1000000/'E Balans VL '!Z9*100),0,B27*3.6/1000000/'E Balans VL '!Z9*100)</f>
        <v>2.3106740167384471E-2</v>
      </c>
      <c r="D27" s="232" t="s">
        <v>621</v>
      </c>
      <c r="F27" s="6"/>
    </row>
    <row r="28" spans="1:18">
      <c r="A28" s="167" t="s">
        <v>51</v>
      </c>
      <c r="B28" s="33">
        <f>IF(ISERROR(TER_handel_ele_kWh/1000),0,TER_handel_ele_kWh/1000)</f>
        <v>1407.2219238</v>
      </c>
      <c r="C28" s="39">
        <f>IF(ISERROR(B28*3.6/1000000/'E Balans VL '!Z13*100),0,B28*3.6/1000000/'E Balans VL '!Z13*100)</f>
        <v>4.1161074854617528E-2</v>
      </c>
      <c r="D28" s="232" t="s">
        <v>621</v>
      </c>
      <c r="F28" s="6"/>
    </row>
    <row r="29" spans="1:18">
      <c r="A29" s="227" t="s">
        <v>50</v>
      </c>
      <c r="B29" s="33">
        <f>IF(ISERROR(TER_gezond_ele_kWh/1000),0,TER_gezond_ele_kWh/1000)</f>
        <v>48.861899090999998</v>
      </c>
      <c r="C29" s="39">
        <f>IF(ISERROR(B29*3.6/1000000/'E Balans VL '!Z10*100),0,B29*3.6/1000000/'E Balans VL '!Z10*100)</f>
        <v>5.1860019522013412E-3</v>
      </c>
      <c r="D29" s="232" t="s">
        <v>621</v>
      </c>
      <c r="F29" s="6"/>
    </row>
    <row r="30" spans="1:18">
      <c r="A30" s="227" t="s">
        <v>49</v>
      </c>
      <c r="B30" s="33">
        <f>IF(ISERROR(TER_ander_ele_kWh/1000),0,TER_ander_ele_kWh/1000)</f>
        <v>2962.5184034000004</v>
      </c>
      <c r="C30" s="39">
        <f>IF(ISERROR(B30*3.6/1000000/'E Balans VL '!Z14*100),0,B30*3.6/1000000/'E Balans VL '!Z14*100)</f>
        <v>0.13779746015217423</v>
      </c>
      <c r="D30" s="232" t="s">
        <v>621</v>
      </c>
      <c r="F30" s="6"/>
    </row>
    <row r="31" spans="1:18">
      <c r="A31" s="227" t="s">
        <v>54</v>
      </c>
      <c r="B31" s="33">
        <f>IF(ISERROR(TER_onderwijs_ele_kWh/1000),0,TER_onderwijs_ele_kWh/1000)</f>
        <v>526.81596843</v>
      </c>
      <c r="C31" s="39">
        <f>IF(ISERROR(B31*3.6/1000000/'E Balans VL '!Z11*100),0,B31*3.6/1000000/'E Balans VL '!Z11*100)</f>
        <v>0.13185111826275459</v>
      </c>
      <c r="D31" s="232" t="s">
        <v>621</v>
      </c>
    </row>
    <row r="32" spans="1:18">
      <c r="A32" s="227" t="s">
        <v>249</v>
      </c>
      <c r="B32" s="33">
        <f>IF(ISERROR(TER_rest_ele_kWh/1000),0,TER_rest_ele_kWh/1000)</f>
        <v>1405.9323541000001</v>
      </c>
      <c r="C32" s="39">
        <f>IF(ISERROR(B32*3.6/1000000/'E Balans VL '!Z8*100),0,B32*3.6/1000000/'E Balans VL '!Z8*100)</f>
        <v>1.1818298064933131E-2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1141.1085926199999</v>
      </c>
      <c r="C5" s="17">
        <f>IF(ISERROR('Eigen informatie GS &amp; warmtenet'!B59),0,'Eigen informatie GS &amp; warmtenet'!B59)</f>
        <v>0</v>
      </c>
      <c r="D5" s="30">
        <f>SUM(D6:D15)</f>
        <v>672.92138875654007</v>
      </c>
      <c r="E5" s="17">
        <f>SUM(E6:E15)</f>
        <v>155.72664432800428</v>
      </c>
      <c r="F5" s="17">
        <f>SUM(F6:F15)</f>
        <v>571.86297092831387</v>
      </c>
      <c r="G5" s="18"/>
      <c r="H5" s="17"/>
      <c r="I5" s="17"/>
      <c r="J5" s="17">
        <f>SUM(J6:J15)</f>
        <v>3.7043970587227113</v>
      </c>
      <c r="K5" s="17"/>
      <c r="L5" s="17"/>
      <c r="M5" s="17"/>
      <c r="N5" s="17">
        <f>SUM(N6:N15)</f>
        <v>129.28254034910921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21.213000000000001</v>
      </c>
      <c r="C8" s="33"/>
      <c r="D8" s="37">
        <f>IF( ISERROR(IND_metaal_Gas_kWH/1000),0,IND_metaal_Gas_kWH/1000)*0.902</f>
        <v>0</v>
      </c>
      <c r="E8" s="33">
        <f>C30*'E Balans VL '!I18/100/3.6*1000000</f>
        <v>0.76330791367520556</v>
      </c>
      <c r="F8" s="33">
        <f>C30*'E Balans VL '!L18/100/3.6*1000000+C30*'E Balans VL '!N18/100/3.6*1000000</f>
        <v>9.2630294485243336</v>
      </c>
      <c r="G8" s="34"/>
      <c r="H8" s="33"/>
      <c r="I8" s="33"/>
      <c r="J8" s="40">
        <f>C30*'E Balans VL '!D18/100/3.6*1000000+C30*'E Balans VL '!E18/100/3.6*1000000</f>
        <v>0</v>
      </c>
      <c r="K8" s="33"/>
      <c r="L8" s="33"/>
      <c r="M8" s="33"/>
      <c r="N8" s="33">
        <f>C30*'E Balans VL '!Y18/100/3.6*1000000</f>
        <v>1.0631811442390118</v>
      </c>
      <c r="O8" s="33"/>
      <c r="P8" s="33"/>
      <c r="R8" s="32"/>
    </row>
    <row r="9" spans="1:18">
      <c r="A9" s="6" t="s">
        <v>32</v>
      </c>
      <c r="B9" s="37">
        <f t="shared" si="0"/>
        <v>493.17921237999997</v>
      </c>
      <c r="C9" s="33"/>
      <c r="D9" s="37">
        <f>IF( ISERROR(IND_andere_gas_kWh/1000),0,IND_andere_gas_kWh/1000)*0.902</f>
        <v>145.96612963284002</v>
      </c>
      <c r="E9" s="33">
        <f>C31*'E Balans VL '!I19/100/3.6*1000000</f>
        <v>125.84817650715814</v>
      </c>
      <c r="F9" s="33">
        <f>C31*'E Balans VL '!L19/100/3.6*1000000+C31*'E Balans VL '!N19/100/3.6*1000000</f>
        <v>424.59023306846672</v>
      </c>
      <c r="G9" s="34"/>
      <c r="H9" s="33"/>
      <c r="I9" s="33"/>
      <c r="J9" s="40">
        <f>C31*'E Balans VL '!D19/100/3.6*1000000+C31*'E Balans VL '!E19/100/3.6*1000000</f>
        <v>0</v>
      </c>
      <c r="K9" s="33"/>
      <c r="L9" s="33"/>
      <c r="M9" s="33"/>
      <c r="N9" s="33">
        <f>C31*'E Balans VL '!Y19/100/3.6*1000000</f>
        <v>38.906068813553588</v>
      </c>
      <c r="O9" s="33"/>
      <c r="P9" s="33"/>
      <c r="R9" s="32"/>
    </row>
    <row r="10" spans="1:18">
      <c r="A10" s="6" t="s">
        <v>40</v>
      </c>
      <c r="B10" s="37">
        <f t="shared" si="0"/>
        <v>169.78480755000001</v>
      </c>
      <c r="C10" s="33"/>
      <c r="D10" s="37">
        <f>IF( ISERROR(IND_voed_gas_kWh/1000),0,IND_voed_gas_kWh/1000)*0.902</f>
        <v>286.20384364594003</v>
      </c>
      <c r="E10" s="33">
        <f>C32*'E Balans VL '!I20/100/3.6*1000000</f>
        <v>4.3161629415666747</v>
      </c>
      <c r="F10" s="33">
        <f>C32*'E Balans VL '!L20/100/3.6*1000000+C32*'E Balans VL '!N20/100/3.6*1000000</f>
        <v>38.419753258804526</v>
      </c>
      <c r="G10" s="34"/>
      <c r="H10" s="33"/>
      <c r="I10" s="33"/>
      <c r="J10" s="40">
        <f>C32*'E Balans VL '!D20/100/3.6*1000000+C32*'E Balans VL '!E20/100/3.6*1000000</f>
        <v>0</v>
      </c>
      <c r="K10" s="33"/>
      <c r="L10" s="33"/>
      <c r="M10" s="33"/>
      <c r="N10" s="33">
        <f>C32*'E Balans VL '!Y20/100/3.6*1000000</f>
        <v>63.673905029479947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456.93157269</v>
      </c>
      <c r="C15" s="33"/>
      <c r="D15" s="37">
        <f>IF( ISERROR(IND_rest_gas_kWh/1000),0,IND_rest_gas_kWh/1000)*0.902</f>
        <v>240.75141547775999</v>
      </c>
      <c r="E15" s="33">
        <f>C37*'E Balans VL '!I15/100/3.6*1000000</f>
        <v>24.79899696560425</v>
      </c>
      <c r="F15" s="33">
        <f>C37*'E Balans VL '!L15/100/3.6*1000000+C37*'E Balans VL '!N15/100/3.6*1000000</f>
        <v>99.589955152518357</v>
      </c>
      <c r="G15" s="34"/>
      <c r="H15" s="33"/>
      <c r="I15" s="33"/>
      <c r="J15" s="40">
        <f>C37*'E Balans VL '!D15/100/3.6*1000000+C37*'E Balans VL '!E15/100/3.6*1000000</f>
        <v>3.7043970587227113</v>
      </c>
      <c r="K15" s="33"/>
      <c r="L15" s="33"/>
      <c r="M15" s="33"/>
      <c r="N15" s="33">
        <f>C37*'E Balans VL '!Y15/100/3.6*1000000</f>
        <v>25.639385361836684</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1141.1085926199999</v>
      </c>
      <c r="C18" s="21">
        <f>C5+C16</f>
        <v>0</v>
      </c>
      <c r="D18" s="21">
        <f>MAX((D5+D16),0)</f>
        <v>672.92138875654007</v>
      </c>
      <c r="E18" s="21">
        <f>MAX((E5+E16),0)</f>
        <v>155.72664432800428</v>
      </c>
      <c r="F18" s="21">
        <f>MAX((F5+F16),0)</f>
        <v>571.86297092831387</v>
      </c>
      <c r="G18" s="21"/>
      <c r="H18" s="21"/>
      <c r="I18" s="21"/>
      <c r="J18" s="21">
        <f>MAX((J5+J16),0)</f>
        <v>3.7043970587227113</v>
      </c>
      <c r="K18" s="21"/>
      <c r="L18" s="21">
        <f>MAX((L5+L16),0)</f>
        <v>0</v>
      </c>
      <c r="M18" s="21"/>
      <c r="N18" s="21">
        <f>MAX((N5+N16),0)</f>
        <v>129.28254034910921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0.17577246221073975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200.57546697464934</v>
      </c>
      <c r="C22" s="23">
        <f ca="1">C18*C20</f>
        <v>0</v>
      </c>
      <c r="D22" s="23">
        <f>D18*D20</f>
        <v>135.93012052882111</v>
      </c>
      <c r="E22" s="23">
        <f>E18*E20</f>
        <v>35.349948262456977</v>
      </c>
      <c r="F22" s="23">
        <f>F18*F20</f>
        <v>152.6874132378598</v>
      </c>
      <c r="G22" s="23"/>
      <c r="H22" s="23"/>
      <c r="I22" s="23"/>
      <c r="J22" s="23">
        <f>J18*J20</f>
        <v>1.3113565587878397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21.213000000000001</v>
      </c>
      <c r="C30" s="39">
        <f>IF(ISERROR(B30*3.6/1000000/'E Balans VL '!Z18*100),0,B30*3.6/1000000/'E Balans VL '!Z18*100)</f>
        <v>4.4945799052663622E-3</v>
      </c>
      <c r="D30" s="232" t="s">
        <v>621</v>
      </c>
    </row>
    <row r="31" spans="1:18">
      <c r="A31" s="6" t="s">
        <v>32</v>
      </c>
      <c r="B31" s="37">
        <f>IF( ISERROR(IND_ander_ele_kWh/1000),0,IND_ander_ele_kWh/1000)</f>
        <v>493.17921237999997</v>
      </c>
      <c r="C31" s="39">
        <f>IF(ISERROR(B31*3.6/1000000/'E Balans VL '!Z19*100),0,B31*3.6/1000000/'E Balans VL '!Z19*100)</f>
        <v>2.0759032893917648E-2</v>
      </c>
      <c r="D31" s="232" t="s">
        <v>621</v>
      </c>
    </row>
    <row r="32" spans="1:18">
      <c r="A32" s="167" t="s">
        <v>40</v>
      </c>
      <c r="B32" s="37">
        <f>IF( ISERROR(IND_voed_ele_kWh/1000),0,IND_voed_ele_kWh/1000)</f>
        <v>169.78480755000001</v>
      </c>
      <c r="C32" s="39">
        <f>IF(ISERROR(B32*3.6/1000000/'E Balans VL '!Z20*100),0,B32*3.6/1000000/'E Balans VL '!Z20*100)</f>
        <v>2.8364473084206112E-2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456.93157269</v>
      </c>
      <c r="C37" s="39">
        <f>IF(ISERROR(B37*3.6/1000000/'E Balans VL '!Z15*100),0,B37*3.6/1000000/'E Balans VL '!Z15*100)</f>
        <v>3.6889855183407723E-3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486.93841229400005</v>
      </c>
      <c r="C5" s="17">
        <f>'Eigen informatie GS &amp; warmtenet'!B60</f>
        <v>0</v>
      </c>
      <c r="D5" s="30">
        <f>IF(ISERROR(SUM(LB_lb_gas_kWh,LB_rest_gas_kWh)/1000),0,SUM(LB_lb_gas_kWh,LB_rest_gas_kWh)/1000)*0.902</f>
        <v>84.787939088842009</v>
      </c>
      <c r="E5" s="17">
        <f>B17*'E Balans VL '!I25/3.6*1000000/100</f>
        <v>9.6466687181543893</v>
      </c>
      <c r="F5" s="17">
        <f>B17*('E Balans VL '!L25/3.6*1000000+'E Balans VL '!N25/3.6*1000000)/100</f>
        <v>1775.727052687801</v>
      </c>
      <c r="G5" s="18"/>
      <c r="H5" s="17"/>
      <c r="I5" s="17"/>
      <c r="J5" s="17">
        <f>('E Balans VL '!D25+'E Balans VL '!E25)/3.6*1000000*landbouw!B17/100</f>
        <v>115.61879738348887</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486.93841229400005</v>
      </c>
      <c r="C8" s="21">
        <f>C5+C6</f>
        <v>0</v>
      </c>
      <c r="D8" s="21">
        <f>MAX((D5+D6),0)</f>
        <v>84.787939088842009</v>
      </c>
      <c r="E8" s="21">
        <f>MAX((E5+E6),0)</f>
        <v>9.6466687181543893</v>
      </c>
      <c r="F8" s="21">
        <f>MAX((F5+F6),0)</f>
        <v>1775.727052687801</v>
      </c>
      <c r="G8" s="21"/>
      <c r="H8" s="21"/>
      <c r="I8" s="21"/>
      <c r="J8" s="21">
        <f>MAX((J5+J6),0)</f>
        <v>115.61879738348887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0.17577246221073975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85.590363673904733</v>
      </c>
      <c r="C12" s="23">
        <f ca="1">C8*C10</f>
        <v>0</v>
      </c>
      <c r="D12" s="23">
        <f>D8*D10</f>
        <v>17.127163695946088</v>
      </c>
      <c r="E12" s="23">
        <f>E8*E10</f>
        <v>2.1897937990210465</v>
      </c>
      <c r="F12" s="23">
        <f>F8*F10</f>
        <v>474.11912306764287</v>
      </c>
      <c r="G12" s="23"/>
      <c r="H12" s="23"/>
      <c r="I12" s="23"/>
      <c r="J12" s="23">
        <f>J8*J10</f>
        <v>40.929054273755057</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6.866154154117414E-2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138.61659352029744</v>
      </c>
      <c r="C26" s="242">
        <f>B26*'GWP N2O_CH4'!B5</f>
        <v>2910.9484639262464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21.103851687541123</v>
      </c>
      <c r="C27" s="242">
        <f>B27*'GWP N2O_CH4'!B5</f>
        <v>443.18088543836359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2.0298004725325209</v>
      </c>
      <c r="C28" s="242">
        <f>B28*'GWP N2O_CH4'!B4</f>
        <v>629.23814648508153</v>
      </c>
      <c r="D28" s="50"/>
    </row>
    <row r="29" spans="1:4">
      <c r="A29" s="41" t="s">
        <v>266</v>
      </c>
      <c r="B29" s="242">
        <f>B34*'ha_N2O bodem landbouw'!B4</f>
        <v>11.924157242376594</v>
      </c>
      <c r="C29" s="242">
        <f>B29*'GWP N2O_CH4'!B4</f>
        <v>3696.4887451367445</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2.6835833570885595E-3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6.5811055040094279E-5</v>
      </c>
      <c r="C5" s="427" t="s">
        <v>204</v>
      </c>
      <c r="D5" s="412">
        <f>SUM(D6:D11)</f>
        <v>1.2549373367472651E-4</v>
      </c>
      <c r="E5" s="412">
        <f>SUM(E6:E11)</f>
        <v>5.5655114935668269E-4</v>
      </c>
      <c r="F5" s="425" t="s">
        <v>204</v>
      </c>
      <c r="G5" s="412">
        <f>SUM(G6:G11)</f>
        <v>0.16941261687709053</v>
      </c>
      <c r="H5" s="412">
        <f>SUM(H6:H11)</f>
        <v>4.2870691198248628E-2</v>
      </c>
      <c r="I5" s="427" t="s">
        <v>204</v>
      </c>
      <c r="J5" s="427" t="s">
        <v>204</v>
      </c>
      <c r="K5" s="427" t="s">
        <v>204</v>
      </c>
      <c r="L5" s="427" t="s">
        <v>204</v>
      </c>
      <c r="M5" s="412">
        <f>SUM(M6:M11)</f>
        <v>6.614567332307782E-3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3.0358195538441551E-5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4.7836302560132595E-5</v>
      </c>
      <c r="E6" s="818">
        <f>vkm_GW_PW*SUMIFS(TableVerdeelsleutelVkm[LPG],TableVerdeelsleutelVkm[Voertuigtype],"Lichte voertuigen")*SUMIFS(TableECFTransport[EnergieConsumptieFactor (PJ per km)],TableECFTransport[Index],CONCATENATE($A6,"_LPG_LPG"))</f>
        <v>2.1836145852369691E-4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5.8958018774585751E-2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1.6648005930771256E-2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2.3537678980063734E-3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4.1420940939879923E-7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1.4277328119012325E-2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2.9005607939666654E-7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4.4916651479187593E-4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3.4789554620001708E-5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7.7657431114593913E-5</v>
      </c>
      <c r="E8" s="415">
        <f>vkm_NGW_PW*SUMIFS(TableVerdeelsleutelVkm[LPG],TableVerdeelsleutelVkm[Voertuigtype],"Lichte voertuigen")*SUMIFS(TableECFTransport[EnergieConsumptieFactor (PJ per km)],TableECFTransport[Index],CONCATENATE($A8,"_LPG_LPG"))</f>
        <v>3.3818969083298578E-4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8.513765591758525E-2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2.6222184666708441E-2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3.4643257023605333E-3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2.4909547225221784E-7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1.10396140659072E-2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2.1054468953124561E-7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3.4730721714899956E-4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18.28084862224841</v>
      </c>
      <c r="C14" s="21"/>
      <c r="D14" s="21">
        <f t="shared" ref="D14:M14" si="0">((D5)*10^9/3600)+D12</f>
        <v>34.859370465201806</v>
      </c>
      <c r="E14" s="21">
        <f t="shared" si="0"/>
        <v>154.59754148796742</v>
      </c>
      <c r="F14" s="21"/>
      <c r="G14" s="21">
        <f t="shared" si="0"/>
        <v>47059.060243636253</v>
      </c>
      <c r="H14" s="21">
        <f t="shared" si="0"/>
        <v>11908.525332846841</v>
      </c>
      <c r="I14" s="21"/>
      <c r="J14" s="21"/>
      <c r="K14" s="21"/>
      <c r="L14" s="21"/>
      <c r="M14" s="21">
        <f t="shared" si="0"/>
        <v>1837.3798145299395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0.17577246221073975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3.2132697736344125</v>
      </c>
      <c r="C18" s="23"/>
      <c r="D18" s="23">
        <f t="shared" ref="D18:M18" si="1">D14*D16</f>
        <v>7.041592833970765</v>
      </c>
      <c r="E18" s="23">
        <f t="shared" si="1"/>
        <v>35.093641917768608</v>
      </c>
      <c r="F18" s="23"/>
      <c r="G18" s="23">
        <f t="shared" si="1"/>
        <v>12564.769085050881</v>
      </c>
      <c r="H18" s="23">
        <f t="shared" si="1"/>
        <v>2965.2228078788635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4.7444891105679075E-5</v>
      </c>
      <c r="C50" s="311">
        <f t="shared" ref="C50:P50" si="2">SUM(C51:C52)</f>
        <v>0</v>
      </c>
      <c r="D50" s="311">
        <f t="shared" si="2"/>
        <v>0</v>
      </c>
      <c r="E50" s="311">
        <f t="shared" si="2"/>
        <v>0</v>
      </c>
      <c r="F50" s="311">
        <f t="shared" si="2"/>
        <v>0</v>
      </c>
      <c r="G50" s="311">
        <f t="shared" si="2"/>
        <v>8.4595245312705791E-3</v>
      </c>
      <c r="H50" s="311">
        <f t="shared" si="2"/>
        <v>0</v>
      </c>
      <c r="I50" s="311">
        <f t="shared" si="2"/>
        <v>0</v>
      </c>
      <c r="J50" s="311">
        <f t="shared" si="2"/>
        <v>0</v>
      </c>
      <c r="K50" s="311">
        <f t="shared" si="2"/>
        <v>0</v>
      </c>
      <c r="L50" s="311">
        <f t="shared" si="2"/>
        <v>0</v>
      </c>
      <c r="M50" s="311">
        <f t="shared" si="2"/>
        <v>2.6407357830516279E-4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4.7444891105679075E-5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8.4595245312705791E-3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2.6407357830516279E-4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13.179136418244187</v>
      </c>
      <c r="C54" s="21">
        <f t="shared" ref="C54:P54" si="3">(C50)*10^9/3600</f>
        <v>0</v>
      </c>
      <c r="D54" s="21">
        <f t="shared" si="3"/>
        <v>0</v>
      </c>
      <c r="E54" s="21">
        <f t="shared" si="3"/>
        <v>0</v>
      </c>
      <c r="F54" s="21">
        <f t="shared" si="3"/>
        <v>0</v>
      </c>
      <c r="G54" s="21">
        <f t="shared" si="3"/>
        <v>2349.8679253529385</v>
      </c>
      <c r="H54" s="21">
        <f t="shared" si="3"/>
        <v>0</v>
      </c>
      <c r="I54" s="21">
        <f t="shared" si="3"/>
        <v>0</v>
      </c>
      <c r="J54" s="21">
        <f t="shared" si="3"/>
        <v>0</v>
      </c>
      <c r="K54" s="21">
        <f t="shared" si="3"/>
        <v>0</v>
      </c>
      <c r="L54" s="21">
        <f t="shared" si="3"/>
        <v>0</v>
      </c>
      <c r="M54" s="21">
        <f t="shared" si="3"/>
        <v>73.35377175143411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0.17577246221073975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2.3165292580460104</v>
      </c>
      <c r="C58" s="23">
        <f t="shared" ref="C58:P58" ca="1" si="4">C54*C56</f>
        <v>0</v>
      </c>
      <c r="D58" s="23">
        <f t="shared" si="4"/>
        <v>0</v>
      </c>
      <c r="E58" s="23">
        <f t="shared" si="4"/>
        <v>0</v>
      </c>
      <c r="F58" s="23">
        <f t="shared" si="4"/>
        <v>0</v>
      </c>
      <c r="G58" s="23">
        <f t="shared" si="4"/>
        <v>627.41473606923466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2002.070891390021</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54</v>
      </c>
      <c r="C8" s="534">
        <f>B48</f>
        <v>0</v>
      </c>
      <c r="D8" s="961"/>
      <c r="E8" s="961">
        <f>E48</f>
        <v>0</v>
      </c>
      <c r="F8" s="962"/>
      <c r="G8" s="535"/>
      <c r="H8" s="961">
        <f>I48</f>
        <v>0</v>
      </c>
      <c r="I8" s="961">
        <f>G48+F48</f>
        <v>63.529411764705884</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4864.5</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13898.571428571429</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6920.5708913900207</v>
      </c>
      <c r="C10" s="547">
        <f t="shared" ref="C10:L10" si="0">SUM(C8:C9)</f>
        <v>0</v>
      </c>
      <c r="D10" s="547">
        <f t="shared" si="0"/>
        <v>0</v>
      </c>
      <c r="E10" s="547">
        <f t="shared" si="0"/>
        <v>0</v>
      </c>
      <c r="F10" s="547">
        <f t="shared" si="0"/>
        <v>0</v>
      </c>
      <c r="G10" s="547">
        <f t="shared" si="0"/>
        <v>0</v>
      </c>
      <c r="H10" s="547">
        <f t="shared" si="0"/>
        <v>0</v>
      </c>
      <c r="I10" s="547">
        <f t="shared" si="0"/>
        <v>63.529411764705884</v>
      </c>
      <c r="J10" s="547">
        <f t="shared" si="0"/>
        <v>13898.571428571429</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60.75</v>
      </c>
      <c r="C17" s="559">
        <f>B49</f>
        <v>0</v>
      </c>
      <c r="D17" s="560"/>
      <c r="E17" s="560">
        <f>E49</f>
        <v>0</v>
      </c>
      <c r="F17" s="967"/>
      <c r="G17" s="561"/>
      <c r="H17" s="559">
        <f>I49</f>
        <v>0</v>
      </c>
      <c r="I17" s="560">
        <f>G49+F49</f>
        <v>71.470588235294116</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60.75</v>
      </c>
      <c r="C20" s="546">
        <f>SUM(C17:C19)</f>
        <v>0</v>
      </c>
      <c r="D20" s="546">
        <f t="shared" ref="D20:L20" si="1">SUM(D17:D19)</f>
        <v>0</v>
      </c>
      <c r="E20" s="546">
        <f t="shared" si="1"/>
        <v>0</v>
      </c>
      <c r="F20" s="546">
        <f t="shared" si="1"/>
        <v>0</v>
      </c>
      <c r="G20" s="546">
        <f t="shared" si="1"/>
        <v>0</v>
      </c>
      <c r="H20" s="546">
        <f t="shared" si="1"/>
        <v>0</v>
      </c>
      <c r="I20" s="546">
        <f t="shared" si="1"/>
        <v>71.470588235294116</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63.75" hidden="1">
      <c r="A28" s="569"/>
      <c r="B28" s="724">
        <v>24045</v>
      </c>
      <c r="C28" s="724">
        <v>3040</v>
      </c>
      <c r="D28" s="617"/>
      <c r="E28" s="616"/>
      <c r="F28" s="616"/>
      <c r="G28" s="616" t="s">
        <v>887</v>
      </c>
      <c r="H28" s="616" t="s">
        <v>888</v>
      </c>
      <c r="I28" s="616"/>
      <c r="J28" s="723"/>
      <c r="K28" s="723"/>
      <c r="L28" s="616" t="s">
        <v>889</v>
      </c>
      <c r="M28" s="616">
        <v>12</v>
      </c>
      <c r="N28" s="616">
        <v>54</v>
      </c>
      <c r="O28" s="616">
        <v>60.75</v>
      </c>
      <c r="P28" s="616">
        <v>0</v>
      </c>
      <c r="Q28" s="616">
        <v>0</v>
      </c>
      <c r="R28" s="616">
        <v>0</v>
      </c>
      <c r="S28" s="616">
        <v>0</v>
      </c>
      <c r="T28" s="616">
        <v>0</v>
      </c>
      <c r="U28" s="616">
        <v>135</v>
      </c>
      <c r="V28" s="616">
        <v>0</v>
      </c>
      <c r="W28" s="616">
        <v>0</v>
      </c>
      <c r="X28" s="616"/>
      <c r="Y28" s="616">
        <v>1600</v>
      </c>
      <c r="Z28" s="616" t="s">
        <v>49</v>
      </c>
      <c r="AA28" s="618" t="s">
        <v>149</v>
      </c>
    </row>
    <row r="29" spans="1:27" s="554" customFormat="1" hidden="1">
      <c r="A29" s="572" t="s">
        <v>269</v>
      </c>
      <c r="B29" s="573"/>
      <c r="C29" s="573"/>
      <c r="D29" s="573"/>
      <c r="E29" s="573"/>
      <c r="F29" s="573"/>
      <c r="G29" s="573"/>
      <c r="H29" s="573"/>
      <c r="I29" s="573"/>
      <c r="J29" s="573"/>
      <c r="K29" s="573"/>
      <c r="L29" s="574"/>
      <c r="M29" s="574">
        <f>SUM(M28:M28)</f>
        <v>12</v>
      </c>
      <c r="N29" s="574">
        <f>SUM(N28:N28)</f>
        <v>54</v>
      </c>
      <c r="O29" s="574">
        <f>SUM(O28:O28)</f>
        <v>60.75</v>
      </c>
      <c r="P29" s="574">
        <f>SUM(P28:P28)</f>
        <v>0</v>
      </c>
      <c r="Q29" s="574">
        <f>SUM(Q28:Q28)</f>
        <v>0</v>
      </c>
      <c r="R29" s="574">
        <f>SUM(R28:R28)</f>
        <v>0</v>
      </c>
      <c r="S29" s="574">
        <f>SUM(S28:S28)</f>
        <v>0</v>
      </c>
      <c r="T29" s="574">
        <f>SUM(T28:T28)</f>
        <v>0</v>
      </c>
      <c r="U29" s="574">
        <f>SUM(U28:U28)</f>
        <v>135</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12</v>
      </c>
      <c r="N31" s="574">
        <f ca="1">SUMIF($AA$28:AE28,"tertiair",N28:N28)</f>
        <v>54</v>
      </c>
      <c r="O31" s="574">
        <f ca="1">SUMIF($AA$28:AF28,"tertiair",O28:O28)</f>
        <v>60.75</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135</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63.75" hidden="1">
      <c r="A35" s="571"/>
      <c r="B35" s="724">
        <v>24045</v>
      </c>
      <c r="C35" s="724">
        <v>3040</v>
      </c>
      <c r="D35" s="619"/>
      <c r="E35" s="619"/>
      <c r="F35" s="619"/>
      <c r="G35" s="619" t="s">
        <v>890</v>
      </c>
      <c r="H35" s="619" t="s">
        <v>891</v>
      </c>
      <c r="I35" s="619"/>
      <c r="J35" s="723"/>
      <c r="K35" s="723"/>
      <c r="L35" s="619" t="s">
        <v>892</v>
      </c>
      <c r="M35" s="619">
        <v>1081</v>
      </c>
      <c r="N35" s="619">
        <v>4864.5</v>
      </c>
      <c r="O35" s="619">
        <v>0</v>
      </c>
      <c r="P35" s="619">
        <v>0</v>
      </c>
      <c r="Q35" s="619">
        <v>0</v>
      </c>
      <c r="R35" s="619">
        <v>13898.571428571429</v>
      </c>
      <c r="S35" s="619">
        <v>0</v>
      </c>
      <c r="T35" s="619">
        <v>0</v>
      </c>
      <c r="U35" s="619">
        <v>0</v>
      </c>
      <c r="V35" s="619">
        <v>0</v>
      </c>
      <c r="W35" s="619">
        <v>0</v>
      </c>
      <c r="X35" s="619"/>
      <c r="Y35" s="619">
        <v>1600</v>
      </c>
      <c r="Z35" s="619" t="s">
        <v>49</v>
      </c>
      <c r="AA35" s="620" t="s">
        <v>149</v>
      </c>
    </row>
    <row r="36" spans="1:28" s="554" customFormat="1" hidden="1">
      <c r="A36" s="572" t="s">
        <v>269</v>
      </c>
      <c r="B36" s="573"/>
      <c r="C36" s="573"/>
      <c r="D36" s="573"/>
      <c r="E36" s="573"/>
      <c r="F36" s="573"/>
      <c r="G36" s="573"/>
      <c r="H36" s="573"/>
      <c r="I36" s="573"/>
      <c r="J36" s="573"/>
      <c r="K36" s="573"/>
      <c r="L36" s="574"/>
      <c r="M36" s="574">
        <f>SUM(M35:M35)</f>
        <v>1081</v>
      </c>
      <c r="N36" s="574">
        <f>SUM(N35:N35)</f>
        <v>4864.5</v>
      </c>
      <c r="O36" s="574">
        <f>SUM(O35:O35)</f>
        <v>0</v>
      </c>
      <c r="P36" s="574">
        <f>SUM(P35:P35)</f>
        <v>0</v>
      </c>
      <c r="Q36" s="574">
        <f>SUM(Q35:Q35)</f>
        <v>0</v>
      </c>
      <c r="R36" s="574">
        <f>SUM(R35:R35)</f>
        <v>13898.571428571429</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1081</v>
      </c>
      <c r="N38" s="574">
        <f>SUMIF($AA$35:$AA$36,"tertiair",N35:N36)</f>
        <v>4864.5</v>
      </c>
      <c r="O38" s="574">
        <f>SUMIF($AA$35:$AA$36,"tertiair",O35:O36)</f>
        <v>0</v>
      </c>
      <c r="P38" s="574">
        <f>SUMIF($AA$35:$AA$36,"tertiair",P35:P36)</f>
        <v>0</v>
      </c>
      <c r="Q38" s="574">
        <f>SUMIF($AA$35:$AA$36,"tertiair",Q35:Q36)</f>
        <v>0</v>
      </c>
      <c r="R38" s="574">
        <f>SUMIF($AA$35:$AA$36,"tertiair",R35:R36)</f>
        <v>13898.571428571429</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0.52941176470588236</v>
      </c>
      <c r="C45" s="599">
        <f>IF(ISERROR(N29/(O29+N29)),0,N29/(N29+O29))</f>
        <v>0.47058823529411764</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63.529411764705884</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71.470588235294116</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13998.227079871001</v>
      </c>
      <c r="D10" s="930">
        <f ca="1">tertiair!C16</f>
        <v>60.75</v>
      </c>
      <c r="E10" s="930">
        <f ca="1">tertiair!D16</f>
        <v>7869.583002511341</v>
      </c>
      <c r="F10" s="930">
        <f>tertiair!E16</f>
        <v>114.03934915186035</v>
      </c>
      <c r="G10" s="930">
        <f ca="1">tertiair!F16</f>
        <v>2895.571810040552</v>
      </c>
      <c r="H10" s="930">
        <f>tertiair!G16</f>
        <v>0</v>
      </c>
      <c r="I10" s="930">
        <f>tertiair!H16</f>
        <v>0</v>
      </c>
      <c r="J10" s="930">
        <f>tertiair!I16</f>
        <v>0</v>
      </c>
      <c r="K10" s="930">
        <f>tertiair!J16</f>
        <v>3.8966593028988861E-2</v>
      </c>
      <c r="L10" s="930">
        <f>tertiair!K16</f>
        <v>0</v>
      </c>
      <c r="M10" s="930">
        <f ca="1">tertiair!L16</f>
        <v>0</v>
      </c>
      <c r="N10" s="930">
        <f>tertiair!M16</f>
        <v>0</v>
      </c>
      <c r="O10" s="930">
        <f ca="1">tertiair!N16</f>
        <v>0</v>
      </c>
      <c r="P10" s="930">
        <f>tertiair!O16</f>
        <v>4.6900000000000004</v>
      </c>
      <c r="Q10" s="931">
        <f>tertiair!P16</f>
        <v>0</v>
      </c>
      <c r="R10" s="628">
        <f ca="1">SUM(C10:Q10)</f>
        <v>24942.900208167783</v>
      </c>
      <c r="S10" s="67"/>
    </row>
    <row r="11" spans="1:19" s="437" customFormat="1">
      <c r="A11" s="736" t="s">
        <v>214</v>
      </c>
      <c r="B11" s="741"/>
      <c r="C11" s="930">
        <f>huishoudens!B8</f>
        <v>17608.696908535403</v>
      </c>
      <c r="D11" s="930">
        <f>huishoudens!C8</f>
        <v>0</v>
      </c>
      <c r="E11" s="930">
        <f>huishoudens!D8</f>
        <v>26157.825489158</v>
      </c>
      <c r="F11" s="930">
        <f>huishoudens!E8</f>
        <v>1222.3493493209592</v>
      </c>
      <c r="G11" s="930">
        <f>huishoudens!F8</f>
        <v>33233.259324397273</v>
      </c>
      <c r="H11" s="930">
        <f>huishoudens!G8</f>
        <v>0</v>
      </c>
      <c r="I11" s="930">
        <f>huishoudens!H8</f>
        <v>0</v>
      </c>
      <c r="J11" s="930">
        <f>huishoudens!I8</f>
        <v>0</v>
      </c>
      <c r="K11" s="930">
        <f>huishoudens!J8</f>
        <v>612.88066068806859</v>
      </c>
      <c r="L11" s="930">
        <f>huishoudens!K8</f>
        <v>0</v>
      </c>
      <c r="M11" s="930">
        <f>huishoudens!L8</f>
        <v>0</v>
      </c>
      <c r="N11" s="930">
        <f>huishoudens!M8</f>
        <v>0</v>
      </c>
      <c r="O11" s="930">
        <f>huishoudens!N8</f>
        <v>5303.1308170559696</v>
      </c>
      <c r="P11" s="930">
        <f>huishoudens!O8</f>
        <v>170.40333333333334</v>
      </c>
      <c r="Q11" s="931">
        <f>huishoudens!P8</f>
        <v>495.73333333333335</v>
      </c>
      <c r="R11" s="628">
        <f>SUM(C11:Q11)</f>
        <v>84804.279215822346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1141.1085926199999</v>
      </c>
      <c r="D13" s="930">
        <f>industrie!C18</f>
        <v>0</v>
      </c>
      <c r="E13" s="930">
        <f>industrie!D18</f>
        <v>672.92138875654007</v>
      </c>
      <c r="F13" s="930">
        <f>industrie!E18</f>
        <v>155.72664432800428</v>
      </c>
      <c r="G13" s="930">
        <f>industrie!F18</f>
        <v>571.86297092831387</v>
      </c>
      <c r="H13" s="930">
        <f>industrie!G18</f>
        <v>0</v>
      </c>
      <c r="I13" s="930">
        <f>industrie!H18</f>
        <v>0</v>
      </c>
      <c r="J13" s="930">
        <f>industrie!I18</f>
        <v>0</v>
      </c>
      <c r="K13" s="930">
        <f>industrie!J18</f>
        <v>3.7043970587227113</v>
      </c>
      <c r="L13" s="930">
        <f>industrie!K18</f>
        <v>0</v>
      </c>
      <c r="M13" s="930">
        <f>industrie!L18</f>
        <v>0</v>
      </c>
      <c r="N13" s="930">
        <f>industrie!M18</f>
        <v>0</v>
      </c>
      <c r="O13" s="930">
        <f>industrie!N18</f>
        <v>129.28254034910921</v>
      </c>
      <c r="P13" s="930">
        <f>industrie!O18</f>
        <v>0</v>
      </c>
      <c r="Q13" s="931">
        <f>industrie!P18</f>
        <v>0</v>
      </c>
      <c r="R13" s="628">
        <f>SUM(C13:Q13)</f>
        <v>2674.6065340406903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32748.032581026404</v>
      </c>
      <c r="D16" s="660">
        <f t="shared" ref="D16:R16" ca="1" si="0">SUM(D9:D15)</f>
        <v>60.75</v>
      </c>
      <c r="E16" s="660">
        <f t="shared" ca="1" si="0"/>
        <v>34700.329880425881</v>
      </c>
      <c r="F16" s="660">
        <f t="shared" si="0"/>
        <v>1492.1153428008238</v>
      </c>
      <c r="G16" s="660">
        <f t="shared" ca="1" si="0"/>
        <v>36700.694105366136</v>
      </c>
      <c r="H16" s="660">
        <f t="shared" si="0"/>
        <v>0</v>
      </c>
      <c r="I16" s="660">
        <f t="shared" si="0"/>
        <v>0</v>
      </c>
      <c r="J16" s="660">
        <f t="shared" si="0"/>
        <v>0</v>
      </c>
      <c r="K16" s="660">
        <f t="shared" si="0"/>
        <v>616.62402433982038</v>
      </c>
      <c r="L16" s="660">
        <f t="shared" si="0"/>
        <v>0</v>
      </c>
      <c r="M16" s="660">
        <f t="shared" ca="1" si="0"/>
        <v>0</v>
      </c>
      <c r="N16" s="660">
        <f t="shared" si="0"/>
        <v>0</v>
      </c>
      <c r="O16" s="660">
        <f t="shared" ca="1" si="0"/>
        <v>5432.4133574050784</v>
      </c>
      <c r="P16" s="660">
        <f t="shared" si="0"/>
        <v>175.09333333333333</v>
      </c>
      <c r="Q16" s="660">
        <f t="shared" si="0"/>
        <v>495.73333333333335</v>
      </c>
      <c r="R16" s="660">
        <f t="shared" ca="1" si="0"/>
        <v>112421.78595803083</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13.179136418244187</v>
      </c>
      <c r="D19" s="930">
        <f>transport!C54</f>
        <v>0</v>
      </c>
      <c r="E19" s="930">
        <f>transport!D54</f>
        <v>0</v>
      </c>
      <c r="F19" s="930">
        <f>transport!E54</f>
        <v>0</v>
      </c>
      <c r="G19" s="930">
        <f>transport!F54</f>
        <v>0</v>
      </c>
      <c r="H19" s="930">
        <f>transport!G54</f>
        <v>2349.8679253529385</v>
      </c>
      <c r="I19" s="930">
        <f>transport!H54</f>
        <v>0</v>
      </c>
      <c r="J19" s="930">
        <f>transport!I54</f>
        <v>0</v>
      </c>
      <c r="K19" s="930">
        <f>transport!J54</f>
        <v>0</v>
      </c>
      <c r="L19" s="930">
        <f>transport!K54</f>
        <v>0</v>
      </c>
      <c r="M19" s="930">
        <f>transport!L54</f>
        <v>0</v>
      </c>
      <c r="N19" s="930">
        <f>transport!M54</f>
        <v>73.35377175143411</v>
      </c>
      <c r="O19" s="930">
        <f>transport!N54</f>
        <v>0</v>
      </c>
      <c r="P19" s="930">
        <f>transport!O54</f>
        <v>0</v>
      </c>
      <c r="Q19" s="931">
        <f>transport!P54</f>
        <v>0</v>
      </c>
      <c r="R19" s="628">
        <f>SUM(C19:Q19)</f>
        <v>2436.4008335226167</v>
      </c>
      <c r="S19" s="67"/>
    </row>
    <row r="20" spans="1:19" s="437" customFormat="1">
      <c r="A20" s="736" t="s">
        <v>296</v>
      </c>
      <c r="B20" s="741"/>
      <c r="C20" s="930">
        <f>transport!B14</f>
        <v>18.28084862224841</v>
      </c>
      <c r="D20" s="930">
        <f>transport!C14</f>
        <v>0</v>
      </c>
      <c r="E20" s="930">
        <f>transport!D14</f>
        <v>34.859370465201806</v>
      </c>
      <c r="F20" s="930">
        <f>transport!E14</f>
        <v>154.59754148796742</v>
      </c>
      <c r="G20" s="930">
        <f>transport!F14</f>
        <v>0</v>
      </c>
      <c r="H20" s="930">
        <f>transport!G14</f>
        <v>47059.060243636253</v>
      </c>
      <c r="I20" s="930">
        <f>transport!H14</f>
        <v>11908.525332846841</v>
      </c>
      <c r="J20" s="930">
        <f>transport!I14</f>
        <v>0</v>
      </c>
      <c r="K20" s="930">
        <f>transport!J14</f>
        <v>0</v>
      </c>
      <c r="L20" s="930">
        <f>transport!K14</f>
        <v>0</v>
      </c>
      <c r="M20" s="930">
        <f>transport!L14</f>
        <v>0</v>
      </c>
      <c r="N20" s="930">
        <f>transport!M14</f>
        <v>1837.3798145299395</v>
      </c>
      <c r="O20" s="930">
        <f>transport!N14</f>
        <v>0</v>
      </c>
      <c r="P20" s="930">
        <f>transport!O14</f>
        <v>0</v>
      </c>
      <c r="Q20" s="931">
        <f>transport!P14</f>
        <v>0</v>
      </c>
      <c r="R20" s="628">
        <f>SUM(C20:Q20)</f>
        <v>61012.703151588445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31.459985040492597</v>
      </c>
      <c r="D22" s="739">
        <f t="shared" ref="D22:R22" si="1">SUM(D18:D21)</f>
        <v>0</v>
      </c>
      <c r="E22" s="739">
        <f t="shared" si="1"/>
        <v>34.859370465201806</v>
      </c>
      <c r="F22" s="739">
        <f t="shared" si="1"/>
        <v>154.59754148796742</v>
      </c>
      <c r="G22" s="739">
        <f t="shared" si="1"/>
        <v>0</v>
      </c>
      <c r="H22" s="739">
        <f t="shared" si="1"/>
        <v>49408.928168989194</v>
      </c>
      <c r="I22" s="739">
        <f t="shared" si="1"/>
        <v>11908.525332846841</v>
      </c>
      <c r="J22" s="739">
        <f t="shared" si="1"/>
        <v>0</v>
      </c>
      <c r="K22" s="739">
        <f t="shared" si="1"/>
        <v>0</v>
      </c>
      <c r="L22" s="739">
        <f t="shared" si="1"/>
        <v>0</v>
      </c>
      <c r="M22" s="739">
        <f t="shared" si="1"/>
        <v>0</v>
      </c>
      <c r="N22" s="739">
        <f t="shared" si="1"/>
        <v>1910.7335862813736</v>
      </c>
      <c r="O22" s="739">
        <f t="shared" si="1"/>
        <v>0</v>
      </c>
      <c r="P22" s="739">
        <f t="shared" si="1"/>
        <v>0</v>
      </c>
      <c r="Q22" s="739">
        <f t="shared" si="1"/>
        <v>0</v>
      </c>
      <c r="R22" s="739">
        <f t="shared" si="1"/>
        <v>63449.103985111062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486.93841229400005</v>
      </c>
      <c r="D24" s="930">
        <f>+landbouw!C8</f>
        <v>0</v>
      </c>
      <c r="E24" s="930">
        <f>+landbouw!D8</f>
        <v>84.787939088842009</v>
      </c>
      <c r="F24" s="930">
        <f>+landbouw!E8</f>
        <v>9.6466687181543893</v>
      </c>
      <c r="G24" s="930">
        <f>+landbouw!F8</f>
        <v>1775.727052687801</v>
      </c>
      <c r="H24" s="930">
        <f>+landbouw!G8</f>
        <v>0</v>
      </c>
      <c r="I24" s="930">
        <f>+landbouw!H8</f>
        <v>0</v>
      </c>
      <c r="J24" s="930">
        <f>+landbouw!I8</f>
        <v>0</v>
      </c>
      <c r="K24" s="930">
        <f>+landbouw!J8</f>
        <v>115.61879738348887</v>
      </c>
      <c r="L24" s="930">
        <f>+landbouw!K8</f>
        <v>0</v>
      </c>
      <c r="M24" s="930">
        <f>+landbouw!L8</f>
        <v>0</v>
      </c>
      <c r="N24" s="930">
        <f>+landbouw!M8</f>
        <v>0</v>
      </c>
      <c r="O24" s="930">
        <f>+landbouw!N8</f>
        <v>0</v>
      </c>
      <c r="P24" s="930">
        <f>+landbouw!O8</f>
        <v>0</v>
      </c>
      <c r="Q24" s="931">
        <f>+landbouw!P8</f>
        <v>0</v>
      </c>
      <c r="R24" s="628">
        <f>SUM(C24:Q24)</f>
        <v>2472.7188701722866</v>
      </c>
      <c r="S24" s="67"/>
    </row>
    <row r="25" spans="1:19" s="437" customFormat="1" ht="15" thickBot="1">
      <c r="A25" s="758" t="s">
        <v>788</v>
      </c>
      <c r="B25" s="933"/>
      <c r="C25" s="934">
        <f>IF(Onbekend_ele_kWh="---",0,Onbekend_ele_kWh)/1000+IF(REST_rest_ele_kWh="---",0,REST_rest_ele_kWh)/1000</f>
        <v>550.27100801999995</v>
      </c>
      <c r="D25" s="934"/>
      <c r="E25" s="934">
        <f>IF(onbekend_gas_kWh="---",0,onbekend_gas_kWh)/1000+IF(REST_rest_gas_kWh="---",0,REST_rest_gas_kWh)/1000</f>
        <v>819.36934701000007</v>
      </c>
      <c r="F25" s="934"/>
      <c r="G25" s="934"/>
      <c r="H25" s="934"/>
      <c r="I25" s="934"/>
      <c r="J25" s="934"/>
      <c r="K25" s="934"/>
      <c r="L25" s="934"/>
      <c r="M25" s="934"/>
      <c r="N25" s="934"/>
      <c r="O25" s="934"/>
      <c r="P25" s="934"/>
      <c r="Q25" s="935"/>
      <c r="R25" s="628">
        <f>SUM(C25:Q25)</f>
        <v>1369.6403550300001</v>
      </c>
      <c r="S25" s="67"/>
    </row>
    <row r="26" spans="1:19" s="437" customFormat="1" ht="15.75" thickBot="1">
      <c r="A26" s="633" t="s">
        <v>789</v>
      </c>
      <c r="B26" s="744"/>
      <c r="C26" s="739">
        <f>SUM(C24:C25)</f>
        <v>1037.209420314</v>
      </c>
      <c r="D26" s="739">
        <f t="shared" ref="D26:R26" si="2">SUM(D24:D25)</f>
        <v>0</v>
      </c>
      <c r="E26" s="739">
        <f t="shared" si="2"/>
        <v>904.15728609884206</v>
      </c>
      <c r="F26" s="739">
        <f t="shared" si="2"/>
        <v>9.6466687181543893</v>
      </c>
      <c r="G26" s="739">
        <f t="shared" si="2"/>
        <v>1775.727052687801</v>
      </c>
      <c r="H26" s="739">
        <f t="shared" si="2"/>
        <v>0</v>
      </c>
      <c r="I26" s="739">
        <f t="shared" si="2"/>
        <v>0</v>
      </c>
      <c r="J26" s="739">
        <f t="shared" si="2"/>
        <v>0</v>
      </c>
      <c r="K26" s="739">
        <f t="shared" si="2"/>
        <v>115.61879738348887</v>
      </c>
      <c r="L26" s="739">
        <f t="shared" si="2"/>
        <v>0</v>
      </c>
      <c r="M26" s="739">
        <f t="shared" si="2"/>
        <v>0</v>
      </c>
      <c r="N26" s="739">
        <f t="shared" si="2"/>
        <v>0</v>
      </c>
      <c r="O26" s="739">
        <f t="shared" si="2"/>
        <v>0</v>
      </c>
      <c r="P26" s="739">
        <f t="shared" si="2"/>
        <v>0</v>
      </c>
      <c r="Q26" s="739">
        <f t="shared" si="2"/>
        <v>0</v>
      </c>
      <c r="R26" s="739">
        <f t="shared" si="2"/>
        <v>3842.3592252022868</v>
      </c>
      <c r="S26" s="67"/>
    </row>
    <row r="27" spans="1:19" s="437" customFormat="1" ht="17.25" thickTop="1" thickBot="1">
      <c r="A27" s="634" t="s">
        <v>109</v>
      </c>
      <c r="B27" s="732"/>
      <c r="C27" s="635">
        <f ca="1">C22+C16+C26</f>
        <v>33816.701986380896</v>
      </c>
      <c r="D27" s="635">
        <f t="shared" ref="D27:R27" ca="1" si="3">D22+D16+D26</f>
        <v>60.75</v>
      </c>
      <c r="E27" s="635">
        <f t="shared" ca="1" si="3"/>
        <v>35639.346536989928</v>
      </c>
      <c r="F27" s="635">
        <f t="shared" si="3"/>
        <v>1656.3595530069456</v>
      </c>
      <c r="G27" s="635">
        <f t="shared" ca="1" si="3"/>
        <v>38476.421158053934</v>
      </c>
      <c r="H27" s="635">
        <f t="shared" si="3"/>
        <v>49408.928168989194</v>
      </c>
      <c r="I27" s="635">
        <f t="shared" si="3"/>
        <v>11908.525332846841</v>
      </c>
      <c r="J27" s="635">
        <f t="shared" si="3"/>
        <v>0</v>
      </c>
      <c r="K27" s="635">
        <f t="shared" si="3"/>
        <v>732.24282172330925</v>
      </c>
      <c r="L27" s="635">
        <f t="shared" si="3"/>
        <v>0</v>
      </c>
      <c r="M27" s="635">
        <f t="shared" ca="1" si="3"/>
        <v>0</v>
      </c>
      <c r="N27" s="635">
        <f t="shared" si="3"/>
        <v>1910.7335862813736</v>
      </c>
      <c r="O27" s="635">
        <f t="shared" ca="1" si="3"/>
        <v>5432.4133574050784</v>
      </c>
      <c r="P27" s="635">
        <f t="shared" si="3"/>
        <v>175.09333333333333</v>
      </c>
      <c r="Q27" s="635">
        <f t="shared" si="3"/>
        <v>495.73333333333335</v>
      </c>
      <c r="R27" s="635">
        <f t="shared" ca="1" si="3"/>
        <v>179713.24916834419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2460.5028404139794</v>
      </c>
      <c r="D40" s="930">
        <f ca="1">tertiair!C20</f>
        <v>0</v>
      </c>
      <c r="E40" s="930">
        <f ca="1">tertiair!D20</f>
        <v>1589.655766507291</v>
      </c>
      <c r="F40" s="930">
        <f>tertiair!E20</f>
        <v>25.886932257472299</v>
      </c>
      <c r="G40" s="930">
        <f ca="1">tertiair!F20</f>
        <v>773.11767328082738</v>
      </c>
      <c r="H40" s="930">
        <f>tertiair!G20</f>
        <v>0</v>
      </c>
      <c r="I40" s="930">
        <f>tertiair!H20</f>
        <v>0</v>
      </c>
      <c r="J40" s="930">
        <f>tertiair!I20</f>
        <v>0</v>
      </c>
      <c r="K40" s="930">
        <f>tertiair!J20</f>
        <v>1.3794173932262056E-2</v>
      </c>
      <c r="L40" s="930">
        <f>tertiair!K20</f>
        <v>0</v>
      </c>
      <c r="M40" s="930">
        <f ca="1">tertiair!L20</f>
        <v>0</v>
      </c>
      <c r="N40" s="930">
        <f>tertiair!M20</f>
        <v>0</v>
      </c>
      <c r="O40" s="930">
        <f ca="1">tertiair!N20</f>
        <v>0</v>
      </c>
      <c r="P40" s="930">
        <f>tertiair!O20</f>
        <v>0</v>
      </c>
      <c r="Q40" s="702">
        <f>tertiair!P20</f>
        <v>0</v>
      </c>
      <c r="R40" s="777">
        <f t="shared" ca="1" si="4"/>
        <v>4849.1770066335021</v>
      </c>
    </row>
    <row r="41" spans="1:18">
      <c r="A41" s="749" t="s">
        <v>214</v>
      </c>
      <c r="B41" s="756"/>
      <c r="C41" s="930">
        <f ca="1">huishoudens!B12</f>
        <v>3095.124011935909</v>
      </c>
      <c r="D41" s="930">
        <f ca="1">huishoudens!C12</f>
        <v>0</v>
      </c>
      <c r="E41" s="930">
        <f>huishoudens!D12</f>
        <v>5283.8807488099164</v>
      </c>
      <c r="F41" s="930">
        <f>huishoudens!E12</f>
        <v>277.47330229585776</v>
      </c>
      <c r="G41" s="930">
        <f>huishoudens!F12</f>
        <v>8873.2802396140723</v>
      </c>
      <c r="H41" s="930">
        <f>huishoudens!G12</f>
        <v>0</v>
      </c>
      <c r="I41" s="930">
        <f>huishoudens!H12</f>
        <v>0</v>
      </c>
      <c r="J41" s="930">
        <f>huishoudens!I12</f>
        <v>0</v>
      </c>
      <c r="K41" s="930">
        <f>huishoudens!J12</f>
        <v>216.95975388357627</v>
      </c>
      <c r="L41" s="930">
        <f>huishoudens!K12</f>
        <v>0</v>
      </c>
      <c r="M41" s="930">
        <f>huishoudens!L12</f>
        <v>0</v>
      </c>
      <c r="N41" s="930">
        <f>huishoudens!M12</f>
        <v>0</v>
      </c>
      <c r="O41" s="930">
        <f>huishoudens!N12</f>
        <v>0</v>
      </c>
      <c r="P41" s="930">
        <f>huishoudens!O12</f>
        <v>0</v>
      </c>
      <c r="Q41" s="702">
        <f>huishoudens!P12</f>
        <v>0</v>
      </c>
      <c r="R41" s="777">
        <f t="shared" ca="1" si="4"/>
        <v>17746.718056539332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200.57546697464934</v>
      </c>
      <c r="D43" s="930">
        <f ca="1">industrie!C22</f>
        <v>0</v>
      </c>
      <c r="E43" s="930">
        <f>industrie!D22</f>
        <v>135.93012052882111</v>
      </c>
      <c r="F43" s="930">
        <f>industrie!E22</f>
        <v>35.349948262456977</v>
      </c>
      <c r="G43" s="930">
        <f>industrie!F22</f>
        <v>152.6874132378598</v>
      </c>
      <c r="H43" s="930">
        <f>industrie!G22</f>
        <v>0</v>
      </c>
      <c r="I43" s="930">
        <f>industrie!H22</f>
        <v>0</v>
      </c>
      <c r="J43" s="930">
        <f>industrie!I22</f>
        <v>0</v>
      </c>
      <c r="K43" s="930">
        <f>industrie!J22</f>
        <v>1.3113565587878397</v>
      </c>
      <c r="L43" s="930">
        <f>industrie!K22</f>
        <v>0</v>
      </c>
      <c r="M43" s="930">
        <f>industrie!L22</f>
        <v>0</v>
      </c>
      <c r="N43" s="930">
        <f>industrie!M22</f>
        <v>0</v>
      </c>
      <c r="O43" s="930">
        <f>industrie!N22</f>
        <v>0</v>
      </c>
      <c r="P43" s="930">
        <f>industrie!O22</f>
        <v>0</v>
      </c>
      <c r="Q43" s="702">
        <f>industrie!P22</f>
        <v>0</v>
      </c>
      <c r="R43" s="776">
        <f t="shared" ca="1" si="4"/>
        <v>525.85430556257506</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5756.2023193245377</v>
      </c>
      <c r="D46" s="660">
        <f t="shared" ref="D46:Q46" ca="1" si="5">SUM(D39:D45)</f>
        <v>0</v>
      </c>
      <c r="E46" s="660">
        <f t="shared" ca="1" si="5"/>
        <v>7009.466635846029</v>
      </c>
      <c r="F46" s="660">
        <f t="shared" si="5"/>
        <v>338.71018281578705</v>
      </c>
      <c r="G46" s="660">
        <f t="shared" ca="1" si="5"/>
        <v>9799.0853261327593</v>
      </c>
      <c r="H46" s="660">
        <f t="shared" si="5"/>
        <v>0</v>
      </c>
      <c r="I46" s="660">
        <f t="shared" si="5"/>
        <v>0</v>
      </c>
      <c r="J46" s="660">
        <f t="shared" si="5"/>
        <v>0</v>
      </c>
      <c r="K46" s="660">
        <f t="shared" si="5"/>
        <v>218.28490461629639</v>
      </c>
      <c r="L46" s="660">
        <f t="shared" si="5"/>
        <v>0</v>
      </c>
      <c r="M46" s="660">
        <f t="shared" ca="1" si="5"/>
        <v>0</v>
      </c>
      <c r="N46" s="660">
        <f t="shared" si="5"/>
        <v>0</v>
      </c>
      <c r="O46" s="660">
        <f t="shared" ca="1" si="5"/>
        <v>0</v>
      </c>
      <c r="P46" s="660">
        <f t="shared" si="5"/>
        <v>0</v>
      </c>
      <c r="Q46" s="660">
        <f t="shared" si="5"/>
        <v>0</v>
      </c>
      <c r="R46" s="660">
        <f ca="1">SUM(R39:R45)</f>
        <v>23121.749368735407</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2.3165292580460104</v>
      </c>
      <c r="D49" s="930">
        <f ca="1">transport!C58</f>
        <v>0</v>
      </c>
      <c r="E49" s="930">
        <f>transport!D58</f>
        <v>0</v>
      </c>
      <c r="F49" s="930">
        <f>transport!E58</f>
        <v>0</v>
      </c>
      <c r="G49" s="930">
        <f>transport!F58</f>
        <v>0</v>
      </c>
      <c r="H49" s="930">
        <f>transport!G58</f>
        <v>627.41473606923466</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629.73126532728065</v>
      </c>
    </row>
    <row r="50" spans="1:18">
      <c r="A50" s="752" t="s">
        <v>296</v>
      </c>
      <c r="B50" s="762"/>
      <c r="C50" s="631">
        <f ca="1">transport!B18</f>
        <v>3.2132697736344125</v>
      </c>
      <c r="D50" s="631">
        <f>transport!C18</f>
        <v>0</v>
      </c>
      <c r="E50" s="631">
        <f>transport!D18</f>
        <v>7.041592833970765</v>
      </c>
      <c r="F50" s="631">
        <f>transport!E18</f>
        <v>35.093641917768608</v>
      </c>
      <c r="G50" s="631">
        <f>transport!F18</f>
        <v>0</v>
      </c>
      <c r="H50" s="631">
        <f>transport!G18</f>
        <v>12564.769085050881</v>
      </c>
      <c r="I50" s="631">
        <f>transport!H18</f>
        <v>2965.2228078788635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15575.340397455118</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5.5297990316804224</v>
      </c>
      <c r="D52" s="660">
        <f t="shared" ref="D52:Q52" ca="1" si="6">SUM(D48:D51)</f>
        <v>0</v>
      </c>
      <c r="E52" s="660">
        <f t="shared" si="6"/>
        <v>7.041592833970765</v>
      </c>
      <c r="F52" s="660">
        <f t="shared" si="6"/>
        <v>35.093641917768608</v>
      </c>
      <c r="G52" s="660">
        <f t="shared" si="6"/>
        <v>0</v>
      </c>
      <c r="H52" s="660">
        <f t="shared" si="6"/>
        <v>13192.183821120116</v>
      </c>
      <c r="I52" s="660">
        <f t="shared" si="6"/>
        <v>2965.2228078788635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16205.071662782399</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85.590363673904733</v>
      </c>
      <c r="D54" s="631">
        <f ca="1">+landbouw!C12</f>
        <v>0</v>
      </c>
      <c r="E54" s="631">
        <f>+landbouw!D12</f>
        <v>17.127163695946088</v>
      </c>
      <c r="F54" s="631">
        <f>+landbouw!E12</f>
        <v>2.1897937990210465</v>
      </c>
      <c r="G54" s="631">
        <f>+landbouw!F12</f>
        <v>474.11912306764287</v>
      </c>
      <c r="H54" s="631">
        <f>+landbouw!G12</f>
        <v>0</v>
      </c>
      <c r="I54" s="631">
        <f>+landbouw!H12</f>
        <v>0</v>
      </c>
      <c r="J54" s="631">
        <f>+landbouw!I12</f>
        <v>0</v>
      </c>
      <c r="K54" s="631">
        <f>+landbouw!J12</f>
        <v>40.929054273755057</v>
      </c>
      <c r="L54" s="631">
        <f>+landbouw!K12</f>
        <v>0</v>
      </c>
      <c r="M54" s="631">
        <f>+landbouw!L12</f>
        <v>0</v>
      </c>
      <c r="N54" s="631">
        <f>+landbouw!M12</f>
        <v>0</v>
      </c>
      <c r="O54" s="631">
        <f>+landbouw!N12</f>
        <v>0</v>
      </c>
      <c r="P54" s="631">
        <f>+landbouw!O12</f>
        <v>0</v>
      </c>
      <c r="Q54" s="632">
        <f>+landbouw!P12</f>
        <v>0</v>
      </c>
      <c r="R54" s="659">
        <f ca="1">SUM(C54:Q54)</f>
        <v>619.95549851026976</v>
      </c>
    </row>
    <row r="55" spans="1:18" ht="15" thickBot="1">
      <c r="A55" s="752" t="s">
        <v>788</v>
      </c>
      <c r="B55" s="762"/>
      <c r="C55" s="631">
        <f ca="1">C25*'EF ele_warmte'!B12</f>
        <v>96.722489962861118</v>
      </c>
      <c r="D55" s="631"/>
      <c r="E55" s="631">
        <f>E25*EF_CO2_aardgas</f>
        <v>165.51260809602002</v>
      </c>
      <c r="F55" s="631"/>
      <c r="G55" s="631"/>
      <c r="H55" s="631"/>
      <c r="I55" s="631"/>
      <c r="J55" s="631"/>
      <c r="K55" s="631"/>
      <c r="L55" s="631"/>
      <c r="M55" s="631"/>
      <c r="N55" s="631"/>
      <c r="O55" s="631"/>
      <c r="P55" s="631"/>
      <c r="Q55" s="632"/>
      <c r="R55" s="659">
        <f ca="1">SUM(C55:Q55)</f>
        <v>262.23509805888114</v>
      </c>
    </row>
    <row r="56" spans="1:18" ht="15.75" thickBot="1">
      <c r="A56" s="750" t="s">
        <v>789</v>
      </c>
      <c r="B56" s="763"/>
      <c r="C56" s="660">
        <f ca="1">SUM(C54:C55)</f>
        <v>182.31285363676585</v>
      </c>
      <c r="D56" s="660">
        <f t="shared" ref="D56:Q56" ca="1" si="7">SUM(D54:D55)</f>
        <v>0</v>
      </c>
      <c r="E56" s="660">
        <f t="shared" si="7"/>
        <v>182.6397717919661</v>
      </c>
      <c r="F56" s="660">
        <f t="shared" si="7"/>
        <v>2.1897937990210465</v>
      </c>
      <c r="G56" s="660">
        <f t="shared" si="7"/>
        <v>474.11912306764287</v>
      </c>
      <c r="H56" s="660">
        <f t="shared" si="7"/>
        <v>0</v>
      </c>
      <c r="I56" s="660">
        <f t="shared" si="7"/>
        <v>0</v>
      </c>
      <c r="J56" s="660">
        <f t="shared" si="7"/>
        <v>0</v>
      </c>
      <c r="K56" s="660">
        <f t="shared" si="7"/>
        <v>40.929054273755057</v>
      </c>
      <c r="L56" s="660">
        <f t="shared" si="7"/>
        <v>0</v>
      </c>
      <c r="M56" s="660">
        <f t="shared" si="7"/>
        <v>0</v>
      </c>
      <c r="N56" s="660">
        <f t="shared" si="7"/>
        <v>0</v>
      </c>
      <c r="O56" s="660">
        <f t="shared" si="7"/>
        <v>0</v>
      </c>
      <c r="P56" s="660">
        <f t="shared" si="7"/>
        <v>0</v>
      </c>
      <c r="Q56" s="661">
        <f t="shared" si="7"/>
        <v>0</v>
      </c>
      <c r="R56" s="662">
        <f ca="1">SUM(R54:R55)</f>
        <v>882.1905965691509</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5944.0449719929838</v>
      </c>
      <c r="D61" s="668">
        <f t="shared" ref="D61:Q61" ca="1" si="8">D46+D52+D56</f>
        <v>0</v>
      </c>
      <c r="E61" s="668">
        <f t="shared" ca="1" si="8"/>
        <v>7199.148000471966</v>
      </c>
      <c r="F61" s="668">
        <f t="shared" si="8"/>
        <v>375.9936185325767</v>
      </c>
      <c r="G61" s="668">
        <f t="shared" ca="1" si="8"/>
        <v>10273.204449200402</v>
      </c>
      <c r="H61" s="668">
        <f t="shared" si="8"/>
        <v>13192.183821120116</v>
      </c>
      <c r="I61" s="668">
        <f t="shared" si="8"/>
        <v>2965.2228078788635</v>
      </c>
      <c r="J61" s="668">
        <f t="shared" si="8"/>
        <v>0</v>
      </c>
      <c r="K61" s="668">
        <f t="shared" si="8"/>
        <v>259.21395889005146</v>
      </c>
      <c r="L61" s="668">
        <f t="shared" si="8"/>
        <v>0</v>
      </c>
      <c r="M61" s="668">
        <f t="shared" ca="1" si="8"/>
        <v>0</v>
      </c>
      <c r="N61" s="668">
        <f t="shared" si="8"/>
        <v>0</v>
      </c>
      <c r="O61" s="668">
        <f t="shared" ca="1" si="8"/>
        <v>0</v>
      </c>
      <c r="P61" s="668">
        <f t="shared" si="8"/>
        <v>0</v>
      </c>
      <c r="Q61" s="668">
        <f t="shared" si="8"/>
        <v>0</v>
      </c>
      <c r="R61" s="668">
        <f ca="1">R46+R52+R56</f>
        <v>40209.011628086955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0.17577246221073975</v>
      </c>
      <c r="D63" s="709">
        <f t="shared" ca="1" si="9"/>
        <v>0</v>
      </c>
      <c r="E63" s="941">
        <f t="shared" ca="1" si="9"/>
        <v>0.20200000000000001</v>
      </c>
      <c r="F63" s="709">
        <f t="shared" si="9"/>
        <v>0.22700000000000004</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2002.070891390021</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54</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63.529411764705884</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4864.5</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13898.571428571429</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6920.5708913900207</v>
      </c>
      <c r="C78" s="683">
        <f>SUM(C72:C77)</f>
        <v>0</v>
      </c>
      <c r="D78" s="684">
        <f t="shared" ref="D78:H78" si="10">SUM(D76:D77)</f>
        <v>0</v>
      </c>
      <c r="E78" s="684">
        <f t="shared" si="10"/>
        <v>0</v>
      </c>
      <c r="F78" s="684">
        <f t="shared" si="10"/>
        <v>0</v>
      </c>
      <c r="G78" s="684">
        <f t="shared" si="10"/>
        <v>0</v>
      </c>
      <c r="H78" s="684">
        <f t="shared" si="10"/>
        <v>0</v>
      </c>
      <c r="I78" s="684">
        <f>SUM(I76:I77)</f>
        <v>63.529411764705884</v>
      </c>
      <c r="J78" s="684">
        <f>SUM(J76:J77)</f>
        <v>13898.571428571429</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60.75</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71.470588235294116</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60.75</v>
      </c>
      <c r="C90" s="683">
        <f>SUM(C87:C89)</f>
        <v>0</v>
      </c>
      <c r="D90" s="683">
        <f t="shared" ref="D90:H90" si="12">SUM(D87:D89)</f>
        <v>0</v>
      </c>
      <c r="E90" s="683">
        <f t="shared" si="12"/>
        <v>0</v>
      </c>
      <c r="F90" s="683">
        <f t="shared" si="12"/>
        <v>0</v>
      </c>
      <c r="G90" s="683">
        <f t="shared" si="12"/>
        <v>0</v>
      </c>
      <c r="H90" s="683">
        <f t="shared" si="12"/>
        <v>0</v>
      </c>
      <c r="I90" s="683">
        <f>SUM(I87:I89)</f>
        <v>71.470588235294116</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17608.696908535403</v>
      </c>
      <c r="C4" s="441">
        <f>huishoudens!C8</f>
        <v>0</v>
      </c>
      <c r="D4" s="441">
        <f>huishoudens!D8</f>
        <v>26157.825489158</v>
      </c>
      <c r="E4" s="441">
        <f>huishoudens!E8</f>
        <v>1222.3493493209592</v>
      </c>
      <c r="F4" s="441">
        <f>huishoudens!F8</f>
        <v>33233.259324397273</v>
      </c>
      <c r="G4" s="441">
        <f>huishoudens!G8</f>
        <v>0</v>
      </c>
      <c r="H4" s="441">
        <f>huishoudens!H8</f>
        <v>0</v>
      </c>
      <c r="I4" s="441">
        <f>huishoudens!I8</f>
        <v>0</v>
      </c>
      <c r="J4" s="441">
        <f>huishoudens!J8</f>
        <v>612.88066068806859</v>
      </c>
      <c r="K4" s="441">
        <f>huishoudens!K8</f>
        <v>0</v>
      </c>
      <c r="L4" s="441">
        <f>huishoudens!L8</f>
        <v>0</v>
      </c>
      <c r="M4" s="441">
        <f>huishoudens!M8</f>
        <v>0</v>
      </c>
      <c r="N4" s="441">
        <f>huishoudens!N8</f>
        <v>5303.1308170559696</v>
      </c>
      <c r="O4" s="441">
        <f>huishoudens!O8</f>
        <v>170.40333333333334</v>
      </c>
      <c r="P4" s="442">
        <f>huishoudens!P8</f>
        <v>495.73333333333335</v>
      </c>
      <c r="Q4" s="443">
        <f>SUM(B4:P4)</f>
        <v>84804.279215822346</v>
      </c>
    </row>
    <row r="5" spans="1:17">
      <c r="A5" s="440" t="s">
        <v>149</v>
      </c>
      <c r="B5" s="441">
        <f ca="1">tertiair!B16</f>
        <v>13326.054079871001</v>
      </c>
      <c r="C5" s="441">
        <f ca="1">tertiair!C16</f>
        <v>60.75</v>
      </c>
      <c r="D5" s="441">
        <f ca="1">tertiair!D16</f>
        <v>7869.583002511341</v>
      </c>
      <c r="E5" s="441">
        <f>tertiair!E16</f>
        <v>114.03934915186035</v>
      </c>
      <c r="F5" s="441">
        <f ca="1">tertiair!F16</f>
        <v>2895.571810040552</v>
      </c>
      <c r="G5" s="441">
        <f>tertiair!G16</f>
        <v>0</v>
      </c>
      <c r="H5" s="441">
        <f>tertiair!H16</f>
        <v>0</v>
      </c>
      <c r="I5" s="441">
        <f>tertiair!I16</f>
        <v>0</v>
      </c>
      <c r="J5" s="441">
        <f>tertiair!J16</f>
        <v>3.8966593028988861E-2</v>
      </c>
      <c r="K5" s="441">
        <f>tertiair!K16</f>
        <v>0</v>
      </c>
      <c r="L5" s="441">
        <f ca="1">tertiair!L16</f>
        <v>0</v>
      </c>
      <c r="M5" s="441">
        <f>tertiair!M16</f>
        <v>0</v>
      </c>
      <c r="N5" s="441">
        <f ca="1">tertiair!N16</f>
        <v>0</v>
      </c>
      <c r="O5" s="441">
        <f>tertiair!O16</f>
        <v>4.6900000000000004</v>
      </c>
      <c r="P5" s="442">
        <f>tertiair!P16</f>
        <v>0</v>
      </c>
      <c r="Q5" s="440">
        <f t="shared" ref="Q5:Q14" ca="1" si="0">SUM(B5:P5)</f>
        <v>24270.72720816778</v>
      </c>
    </row>
    <row r="6" spans="1:17">
      <c r="A6" s="440" t="s">
        <v>187</v>
      </c>
      <c r="B6" s="441">
        <f>'openbare verlichting'!B8</f>
        <v>672.173</v>
      </c>
      <c r="C6" s="441"/>
      <c r="D6" s="441"/>
      <c r="E6" s="441"/>
      <c r="F6" s="441"/>
      <c r="G6" s="441"/>
      <c r="H6" s="441"/>
      <c r="I6" s="441"/>
      <c r="J6" s="441"/>
      <c r="K6" s="441"/>
      <c r="L6" s="441"/>
      <c r="M6" s="441"/>
      <c r="N6" s="441"/>
      <c r="O6" s="441"/>
      <c r="P6" s="442"/>
      <c r="Q6" s="440">
        <f t="shared" si="0"/>
        <v>672.173</v>
      </c>
    </row>
    <row r="7" spans="1:17">
      <c r="A7" s="440" t="s">
        <v>105</v>
      </c>
      <c r="B7" s="441">
        <f>landbouw!B8</f>
        <v>486.93841229400005</v>
      </c>
      <c r="C7" s="441">
        <f>landbouw!C8</f>
        <v>0</v>
      </c>
      <c r="D7" s="441">
        <f>landbouw!D8</f>
        <v>84.787939088842009</v>
      </c>
      <c r="E7" s="441">
        <f>landbouw!E8</f>
        <v>9.6466687181543893</v>
      </c>
      <c r="F7" s="441">
        <f>landbouw!F8</f>
        <v>1775.727052687801</v>
      </c>
      <c r="G7" s="441">
        <f>landbouw!G8</f>
        <v>0</v>
      </c>
      <c r="H7" s="441">
        <f>landbouw!H8</f>
        <v>0</v>
      </c>
      <c r="I7" s="441">
        <f>landbouw!I8</f>
        <v>0</v>
      </c>
      <c r="J7" s="441">
        <f>landbouw!J8</f>
        <v>115.61879738348887</v>
      </c>
      <c r="K7" s="441">
        <f>landbouw!K8</f>
        <v>0</v>
      </c>
      <c r="L7" s="441">
        <f>landbouw!L8</f>
        <v>0</v>
      </c>
      <c r="M7" s="441">
        <f>landbouw!M8</f>
        <v>0</v>
      </c>
      <c r="N7" s="441">
        <f>landbouw!N8</f>
        <v>0</v>
      </c>
      <c r="O7" s="441">
        <f>landbouw!O8</f>
        <v>0</v>
      </c>
      <c r="P7" s="442">
        <f>landbouw!P8</f>
        <v>0</v>
      </c>
      <c r="Q7" s="440">
        <f t="shared" si="0"/>
        <v>2472.7188701722866</v>
      </c>
    </row>
    <row r="8" spans="1:17">
      <c r="A8" s="440" t="s">
        <v>600</v>
      </c>
      <c r="B8" s="441">
        <f>industrie!B18</f>
        <v>1141.1085926199999</v>
      </c>
      <c r="C8" s="441">
        <f>industrie!C18</f>
        <v>0</v>
      </c>
      <c r="D8" s="441">
        <f>industrie!D18</f>
        <v>672.92138875654007</v>
      </c>
      <c r="E8" s="441">
        <f>industrie!E18</f>
        <v>155.72664432800428</v>
      </c>
      <c r="F8" s="441">
        <f>industrie!F18</f>
        <v>571.86297092831387</v>
      </c>
      <c r="G8" s="441">
        <f>industrie!G18</f>
        <v>0</v>
      </c>
      <c r="H8" s="441">
        <f>industrie!H18</f>
        <v>0</v>
      </c>
      <c r="I8" s="441">
        <f>industrie!I18</f>
        <v>0</v>
      </c>
      <c r="J8" s="441">
        <f>industrie!J18</f>
        <v>3.7043970587227113</v>
      </c>
      <c r="K8" s="441">
        <f>industrie!K18</f>
        <v>0</v>
      </c>
      <c r="L8" s="441">
        <f>industrie!L18</f>
        <v>0</v>
      </c>
      <c r="M8" s="441">
        <f>industrie!M18</f>
        <v>0</v>
      </c>
      <c r="N8" s="441">
        <f>industrie!N18</f>
        <v>129.28254034910921</v>
      </c>
      <c r="O8" s="441">
        <f>industrie!O18</f>
        <v>0</v>
      </c>
      <c r="P8" s="442">
        <f>industrie!P18</f>
        <v>0</v>
      </c>
      <c r="Q8" s="440">
        <f t="shared" si="0"/>
        <v>2674.6065340406903</v>
      </c>
    </row>
    <row r="9" spans="1:17" s="446" customFormat="1">
      <c r="A9" s="444" t="s">
        <v>549</v>
      </c>
      <c r="B9" s="445">
        <f>transport!B14</f>
        <v>18.28084862224841</v>
      </c>
      <c r="C9" s="445">
        <f>transport!C14</f>
        <v>0</v>
      </c>
      <c r="D9" s="445">
        <f>transport!D14</f>
        <v>34.859370465201806</v>
      </c>
      <c r="E9" s="445">
        <f>transport!E14</f>
        <v>154.59754148796742</v>
      </c>
      <c r="F9" s="445">
        <f>transport!F14</f>
        <v>0</v>
      </c>
      <c r="G9" s="445">
        <f>transport!G14</f>
        <v>47059.060243636253</v>
      </c>
      <c r="H9" s="445">
        <f>transport!H14</f>
        <v>11908.525332846841</v>
      </c>
      <c r="I9" s="445">
        <f>transport!I14</f>
        <v>0</v>
      </c>
      <c r="J9" s="445">
        <f>transport!J14</f>
        <v>0</v>
      </c>
      <c r="K9" s="445">
        <f>transport!K14</f>
        <v>0</v>
      </c>
      <c r="L9" s="445">
        <f>transport!L14</f>
        <v>0</v>
      </c>
      <c r="M9" s="445">
        <f>transport!M14</f>
        <v>1837.3798145299395</v>
      </c>
      <c r="N9" s="445">
        <f>transport!N14</f>
        <v>0</v>
      </c>
      <c r="O9" s="445">
        <f>transport!O14</f>
        <v>0</v>
      </c>
      <c r="P9" s="445">
        <f>transport!P14</f>
        <v>0</v>
      </c>
      <c r="Q9" s="444">
        <f>SUM(B9:P9)</f>
        <v>61012.703151588445</v>
      </c>
    </row>
    <row r="10" spans="1:17">
      <c r="A10" s="440" t="s">
        <v>539</v>
      </c>
      <c r="B10" s="441">
        <f>transport!B54</f>
        <v>13.179136418244187</v>
      </c>
      <c r="C10" s="441">
        <f>transport!C54</f>
        <v>0</v>
      </c>
      <c r="D10" s="441">
        <f>transport!D54</f>
        <v>0</v>
      </c>
      <c r="E10" s="441">
        <f>transport!E54</f>
        <v>0</v>
      </c>
      <c r="F10" s="441">
        <f>transport!F54</f>
        <v>0</v>
      </c>
      <c r="G10" s="441">
        <f>transport!G54</f>
        <v>2349.8679253529385</v>
      </c>
      <c r="H10" s="441">
        <f>transport!H54</f>
        <v>0</v>
      </c>
      <c r="I10" s="441">
        <f>transport!I54</f>
        <v>0</v>
      </c>
      <c r="J10" s="441">
        <f>transport!J54</f>
        <v>0</v>
      </c>
      <c r="K10" s="441">
        <f>transport!K54</f>
        <v>0</v>
      </c>
      <c r="L10" s="441">
        <f>transport!L54</f>
        <v>0</v>
      </c>
      <c r="M10" s="441">
        <f>transport!M54</f>
        <v>73.35377175143411</v>
      </c>
      <c r="N10" s="441">
        <f>transport!N54</f>
        <v>0</v>
      </c>
      <c r="O10" s="441">
        <f>transport!O54</f>
        <v>0</v>
      </c>
      <c r="P10" s="442">
        <f>transport!P54</f>
        <v>0</v>
      </c>
      <c r="Q10" s="440">
        <f t="shared" si="0"/>
        <v>2436.4008335226167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550.27100801999995</v>
      </c>
      <c r="C14" s="448"/>
      <c r="D14" s="448">
        <f>'SEAP template'!E25</f>
        <v>819.36934701000007</v>
      </c>
      <c r="E14" s="448"/>
      <c r="F14" s="448"/>
      <c r="G14" s="448"/>
      <c r="H14" s="448"/>
      <c r="I14" s="448"/>
      <c r="J14" s="448"/>
      <c r="K14" s="448"/>
      <c r="L14" s="448"/>
      <c r="M14" s="448"/>
      <c r="N14" s="448"/>
      <c r="O14" s="448"/>
      <c r="P14" s="449"/>
      <c r="Q14" s="440">
        <f t="shared" si="0"/>
        <v>1369.6403550300001</v>
      </c>
    </row>
    <row r="15" spans="1:17" s="450" customFormat="1">
      <c r="A15" s="956" t="s">
        <v>543</v>
      </c>
      <c r="B15" s="896">
        <f ca="1">SUM(B4:B14)</f>
        <v>33816.701986380896</v>
      </c>
      <c r="C15" s="896">
        <f t="shared" ref="C15:Q15" ca="1" si="1">SUM(C4:C14)</f>
        <v>60.75</v>
      </c>
      <c r="D15" s="896">
        <f t="shared" ca="1" si="1"/>
        <v>35639.34653698992</v>
      </c>
      <c r="E15" s="896">
        <f t="shared" si="1"/>
        <v>1656.3595530069456</v>
      </c>
      <c r="F15" s="896">
        <f t="shared" ca="1" si="1"/>
        <v>38476.421158053934</v>
      </c>
      <c r="G15" s="896">
        <f t="shared" si="1"/>
        <v>49408.928168989194</v>
      </c>
      <c r="H15" s="896">
        <f t="shared" si="1"/>
        <v>11908.525332846841</v>
      </c>
      <c r="I15" s="896">
        <f t="shared" si="1"/>
        <v>0</v>
      </c>
      <c r="J15" s="896">
        <f t="shared" si="1"/>
        <v>732.24282172330925</v>
      </c>
      <c r="K15" s="896">
        <f t="shared" si="1"/>
        <v>0</v>
      </c>
      <c r="L15" s="896">
        <f t="shared" ca="1" si="1"/>
        <v>0</v>
      </c>
      <c r="M15" s="896">
        <f t="shared" si="1"/>
        <v>1910.7335862813736</v>
      </c>
      <c r="N15" s="896">
        <f t="shared" ca="1" si="1"/>
        <v>5432.4133574050784</v>
      </c>
      <c r="O15" s="896">
        <f t="shared" si="1"/>
        <v>175.09333333333333</v>
      </c>
      <c r="P15" s="896">
        <f t="shared" si="1"/>
        <v>495.73333333333335</v>
      </c>
      <c r="Q15" s="896">
        <f t="shared" ca="1" si="1"/>
        <v>179713.24916834416</v>
      </c>
    </row>
    <row r="17" spans="1:17">
      <c r="A17" s="451" t="s">
        <v>544</v>
      </c>
      <c r="B17" s="714">
        <f ca="1">huishoudens!B10</f>
        <v>0.17577246221073975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3095.124011935909</v>
      </c>
      <c r="C22" s="441">
        <f t="shared" ref="C22:C32" ca="1" si="3">C4*$C$17</f>
        <v>0</v>
      </c>
      <c r="D22" s="441">
        <f t="shared" ref="D22:D32" si="4">D4*$D$17</f>
        <v>5283.8807488099164</v>
      </c>
      <c r="E22" s="441">
        <f t="shared" ref="E22:E32" si="5">E4*$E$17</f>
        <v>277.47330229585776</v>
      </c>
      <c r="F22" s="441">
        <f t="shared" ref="F22:F32" si="6">F4*$F$17</f>
        <v>8873.2802396140723</v>
      </c>
      <c r="G22" s="441">
        <f t="shared" ref="G22:G32" si="7">G4*$G$17</f>
        <v>0</v>
      </c>
      <c r="H22" s="441">
        <f t="shared" ref="H22:H32" si="8">H4*$H$17</f>
        <v>0</v>
      </c>
      <c r="I22" s="441">
        <f t="shared" ref="I22:I32" si="9">I4*$I$17</f>
        <v>0</v>
      </c>
      <c r="J22" s="441">
        <f t="shared" ref="J22:J32" si="10">J4*$J$17</f>
        <v>216.95975388357627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17746.718056539332</v>
      </c>
    </row>
    <row r="23" spans="1:17">
      <c r="A23" s="440" t="s">
        <v>149</v>
      </c>
      <c r="B23" s="441">
        <f t="shared" ca="1" si="2"/>
        <v>2342.3533371723997</v>
      </c>
      <c r="C23" s="441">
        <f t="shared" ca="1" si="3"/>
        <v>0</v>
      </c>
      <c r="D23" s="441">
        <f t="shared" ca="1" si="4"/>
        <v>1589.655766507291</v>
      </c>
      <c r="E23" s="441">
        <f t="shared" si="5"/>
        <v>25.886932257472299</v>
      </c>
      <c r="F23" s="441">
        <f t="shared" ca="1" si="6"/>
        <v>773.11767328082738</v>
      </c>
      <c r="G23" s="441">
        <f t="shared" si="7"/>
        <v>0</v>
      </c>
      <c r="H23" s="441">
        <f t="shared" si="8"/>
        <v>0</v>
      </c>
      <c r="I23" s="441">
        <f t="shared" si="9"/>
        <v>0</v>
      </c>
      <c r="J23" s="441">
        <f t="shared" si="10"/>
        <v>1.3794173932262056E-2</v>
      </c>
      <c r="K23" s="441">
        <f t="shared" si="11"/>
        <v>0</v>
      </c>
      <c r="L23" s="441">
        <f t="shared" ca="1" si="12"/>
        <v>0</v>
      </c>
      <c r="M23" s="441">
        <f t="shared" si="13"/>
        <v>0</v>
      </c>
      <c r="N23" s="441">
        <f t="shared" ca="1" si="14"/>
        <v>0</v>
      </c>
      <c r="O23" s="441">
        <f t="shared" si="15"/>
        <v>0</v>
      </c>
      <c r="P23" s="442">
        <f t="shared" si="16"/>
        <v>0</v>
      </c>
      <c r="Q23" s="440">
        <f t="shared" ref="Q23:Q32" ca="1" si="17">SUM(B23:P23)</f>
        <v>4731.0275033919224</v>
      </c>
    </row>
    <row r="24" spans="1:17">
      <c r="A24" s="440" t="s">
        <v>187</v>
      </c>
      <c r="B24" s="441">
        <f t="shared" ca="1" si="2"/>
        <v>118.14950324157957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118.14950324157957</v>
      </c>
    </row>
    <row r="25" spans="1:17">
      <c r="A25" s="440" t="s">
        <v>105</v>
      </c>
      <c r="B25" s="441">
        <f t="shared" ca="1" si="2"/>
        <v>85.590363673904733</v>
      </c>
      <c r="C25" s="441">
        <f t="shared" ca="1" si="3"/>
        <v>0</v>
      </c>
      <c r="D25" s="441">
        <f t="shared" si="4"/>
        <v>17.127163695946088</v>
      </c>
      <c r="E25" s="441">
        <f t="shared" si="5"/>
        <v>2.1897937990210465</v>
      </c>
      <c r="F25" s="441">
        <f t="shared" si="6"/>
        <v>474.11912306764287</v>
      </c>
      <c r="G25" s="441">
        <f t="shared" si="7"/>
        <v>0</v>
      </c>
      <c r="H25" s="441">
        <f t="shared" si="8"/>
        <v>0</v>
      </c>
      <c r="I25" s="441">
        <f t="shared" si="9"/>
        <v>0</v>
      </c>
      <c r="J25" s="441">
        <f t="shared" si="10"/>
        <v>40.929054273755057</v>
      </c>
      <c r="K25" s="441">
        <f t="shared" si="11"/>
        <v>0</v>
      </c>
      <c r="L25" s="441">
        <f t="shared" si="12"/>
        <v>0</v>
      </c>
      <c r="M25" s="441">
        <f t="shared" si="13"/>
        <v>0</v>
      </c>
      <c r="N25" s="441">
        <f t="shared" si="14"/>
        <v>0</v>
      </c>
      <c r="O25" s="441">
        <f t="shared" si="15"/>
        <v>0</v>
      </c>
      <c r="P25" s="442">
        <f t="shared" si="16"/>
        <v>0</v>
      </c>
      <c r="Q25" s="440">
        <f t="shared" ca="1" si="17"/>
        <v>619.95549851026976</v>
      </c>
    </row>
    <row r="26" spans="1:17">
      <c r="A26" s="440" t="s">
        <v>600</v>
      </c>
      <c r="B26" s="441">
        <f t="shared" ca="1" si="2"/>
        <v>200.57546697464934</v>
      </c>
      <c r="C26" s="441">
        <f t="shared" ca="1" si="3"/>
        <v>0</v>
      </c>
      <c r="D26" s="441">
        <f t="shared" si="4"/>
        <v>135.93012052882111</v>
      </c>
      <c r="E26" s="441">
        <f t="shared" si="5"/>
        <v>35.349948262456977</v>
      </c>
      <c r="F26" s="441">
        <f t="shared" si="6"/>
        <v>152.6874132378598</v>
      </c>
      <c r="G26" s="441">
        <f t="shared" si="7"/>
        <v>0</v>
      </c>
      <c r="H26" s="441">
        <f t="shared" si="8"/>
        <v>0</v>
      </c>
      <c r="I26" s="441">
        <f t="shared" si="9"/>
        <v>0</v>
      </c>
      <c r="J26" s="441">
        <f t="shared" si="10"/>
        <v>1.3113565587878397</v>
      </c>
      <c r="K26" s="441">
        <f t="shared" si="11"/>
        <v>0</v>
      </c>
      <c r="L26" s="441">
        <f t="shared" si="12"/>
        <v>0</v>
      </c>
      <c r="M26" s="441">
        <f t="shared" si="13"/>
        <v>0</v>
      </c>
      <c r="N26" s="441">
        <f t="shared" si="14"/>
        <v>0</v>
      </c>
      <c r="O26" s="441">
        <f t="shared" si="15"/>
        <v>0</v>
      </c>
      <c r="P26" s="442">
        <f t="shared" si="16"/>
        <v>0</v>
      </c>
      <c r="Q26" s="440">
        <f t="shared" ca="1" si="17"/>
        <v>525.85430556257506</v>
      </c>
    </row>
    <row r="27" spans="1:17" s="446" customFormat="1">
      <c r="A27" s="444" t="s">
        <v>549</v>
      </c>
      <c r="B27" s="708">
        <f t="shared" ca="1" si="2"/>
        <v>3.2132697736344125</v>
      </c>
      <c r="C27" s="445">
        <f t="shared" ca="1" si="3"/>
        <v>0</v>
      </c>
      <c r="D27" s="445">
        <f t="shared" si="4"/>
        <v>7.041592833970765</v>
      </c>
      <c r="E27" s="445">
        <f t="shared" si="5"/>
        <v>35.093641917768608</v>
      </c>
      <c r="F27" s="445">
        <f t="shared" si="6"/>
        <v>0</v>
      </c>
      <c r="G27" s="445">
        <f t="shared" si="7"/>
        <v>12564.769085050881</v>
      </c>
      <c r="H27" s="445">
        <f t="shared" si="8"/>
        <v>2965.2228078788635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15575.340397455118</v>
      </c>
    </row>
    <row r="28" spans="1:17">
      <c r="A28" s="440" t="s">
        <v>539</v>
      </c>
      <c r="B28" s="441">
        <f t="shared" ca="1" si="2"/>
        <v>2.3165292580460104</v>
      </c>
      <c r="C28" s="441">
        <f t="shared" ca="1" si="3"/>
        <v>0</v>
      </c>
      <c r="D28" s="441">
        <f t="shared" si="4"/>
        <v>0</v>
      </c>
      <c r="E28" s="441">
        <f t="shared" si="5"/>
        <v>0</v>
      </c>
      <c r="F28" s="441">
        <f t="shared" si="6"/>
        <v>0</v>
      </c>
      <c r="G28" s="441">
        <f t="shared" si="7"/>
        <v>627.41473606923466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629.73126532728065</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96.722489962861118</v>
      </c>
      <c r="C32" s="441">
        <f t="shared" ca="1" si="3"/>
        <v>0</v>
      </c>
      <c r="D32" s="441">
        <f t="shared" si="4"/>
        <v>165.51260809602002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262.23509805888114</v>
      </c>
    </row>
    <row r="33" spans="1:17" s="450" customFormat="1">
      <c r="A33" s="956" t="s">
        <v>543</v>
      </c>
      <c r="B33" s="896">
        <f ca="1">SUM(B22:B32)</f>
        <v>5944.0449719929838</v>
      </c>
      <c r="C33" s="896">
        <f t="shared" ref="C33:Q33" ca="1" si="18">SUM(C22:C32)</f>
        <v>0</v>
      </c>
      <c r="D33" s="896">
        <f t="shared" ca="1" si="18"/>
        <v>7199.148000471966</v>
      </c>
      <c r="E33" s="896">
        <f t="shared" si="18"/>
        <v>375.9936185325767</v>
      </c>
      <c r="F33" s="896">
        <f t="shared" ca="1" si="18"/>
        <v>10273.204449200402</v>
      </c>
      <c r="G33" s="896">
        <f t="shared" si="18"/>
        <v>13192.183821120116</v>
      </c>
      <c r="H33" s="896">
        <f t="shared" si="18"/>
        <v>2965.2228078788635</v>
      </c>
      <c r="I33" s="896">
        <f t="shared" si="18"/>
        <v>0</v>
      </c>
      <c r="J33" s="896">
        <f t="shared" si="18"/>
        <v>259.21395889005146</v>
      </c>
      <c r="K33" s="896">
        <f t="shared" si="18"/>
        <v>0</v>
      </c>
      <c r="L33" s="896">
        <f t="shared" ca="1" si="18"/>
        <v>0</v>
      </c>
      <c r="M33" s="896">
        <f t="shared" si="18"/>
        <v>0</v>
      </c>
      <c r="N33" s="896">
        <f t="shared" ca="1" si="18"/>
        <v>0</v>
      </c>
      <c r="O33" s="896">
        <f t="shared" si="18"/>
        <v>0</v>
      </c>
      <c r="P33" s="896">
        <f t="shared" si="18"/>
        <v>0</v>
      </c>
      <c r="Q33" s="896">
        <f t="shared" ca="1" si="18"/>
        <v>40209.011628086955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2002.070891390021</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54</v>
      </c>
      <c r="C8" s="973">
        <f>'SEAP template'!C76</f>
        <v>0</v>
      </c>
      <c r="D8" s="973">
        <f>'SEAP template'!D76</f>
        <v>0</v>
      </c>
      <c r="E8" s="973">
        <f>'SEAP template'!E76</f>
        <v>0</v>
      </c>
      <c r="F8" s="973">
        <f>'SEAP template'!F76</f>
        <v>0</v>
      </c>
      <c r="G8" s="973">
        <f>'SEAP template'!G76</f>
        <v>0</v>
      </c>
      <c r="H8" s="973">
        <f>'SEAP template'!H76</f>
        <v>0</v>
      </c>
      <c r="I8" s="973">
        <f>'SEAP template'!I76</f>
        <v>63.529411764705884</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4864.5</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13898.571428571429</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6920.5708913900207</v>
      </c>
      <c r="C10" s="977">
        <f>SUM(C4:C9)</f>
        <v>0</v>
      </c>
      <c r="D10" s="977">
        <f t="shared" ref="D10:H10" si="0">SUM(D8:D9)</f>
        <v>0</v>
      </c>
      <c r="E10" s="977">
        <f t="shared" si="0"/>
        <v>0</v>
      </c>
      <c r="F10" s="977">
        <f t="shared" si="0"/>
        <v>0</v>
      </c>
      <c r="G10" s="977">
        <f t="shared" si="0"/>
        <v>0</v>
      </c>
      <c r="H10" s="977">
        <f t="shared" si="0"/>
        <v>0</v>
      </c>
      <c r="I10" s="977">
        <f>SUM(I8:I9)</f>
        <v>63.529411764705884</v>
      </c>
      <c r="J10" s="977">
        <f>SUM(J8:J9)</f>
        <v>13898.571428571429</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0.17577246221073975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60.75</v>
      </c>
      <c r="C17" s="979">
        <f>'SEAP template'!C87</f>
        <v>0</v>
      </c>
      <c r="D17" s="974">
        <f>'SEAP template'!D87</f>
        <v>0</v>
      </c>
      <c r="E17" s="974">
        <f>'SEAP template'!E87</f>
        <v>0</v>
      </c>
      <c r="F17" s="974">
        <f>'SEAP template'!F87</f>
        <v>0</v>
      </c>
      <c r="G17" s="974">
        <f>'SEAP template'!G87</f>
        <v>0</v>
      </c>
      <c r="H17" s="974">
        <f>'SEAP template'!H87</f>
        <v>0</v>
      </c>
      <c r="I17" s="974">
        <f>'SEAP template'!I87</f>
        <v>71.470588235294116</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60.75</v>
      </c>
      <c r="C20" s="977">
        <f>SUM(C17:C19)</f>
        <v>0</v>
      </c>
      <c r="D20" s="977">
        <f t="shared" ref="D20:H20" si="2">SUM(D17:D19)</f>
        <v>0</v>
      </c>
      <c r="E20" s="977">
        <f t="shared" si="2"/>
        <v>0</v>
      </c>
      <c r="F20" s="977">
        <f t="shared" si="2"/>
        <v>0</v>
      </c>
      <c r="G20" s="977">
        <f t="shared" si="2"/>
        <v>0</v>
      </c>
      <c r="H20" s="977">
        <f t="shared" si="2"/>
        <v>0</v>
      </c>
      <c r="I20" s="977">
        <f>SUM(I17:I19)</f>
        <v>71.470588235294116</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0.17577246221073975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2022-07-26T11:05:36Z</dcterms:modified>
</cp:coreProperties>
</file>