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6DECB734-CF25-43DD-ACDD-E6ACA0D2F24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S37" i="18"/>
  <c r="E9" i="18"/>
  <c r="F77" i="14"/>
  <c r="F9" i="59"/>
  <c r="R37" i="18"/>
  <c r="Q37" i="18"/>
  <c r="P37" i="18"/>
  <c r="C9" i="18"/>
  <c r="D77" i="14"/>
  <c r="D9" i="59"/>
  <c r="O37" i="18"/>
  <c r="N37" i="18"/>
  <c r="B9" i="18"/>
  <c r="M37" i="18"/>
  <c r="W33" i="18"/>
  <c r="V33" i="18"/>
  <c r="U33" i="18"/>
  <c r="T33" i="18"/>
  <c r="S33" i="18"/>
  <c r="R33" i="18"/>
  <c r="Q33" i="18"/>
  <c r="P33" i="18"/>
  <c r="O33" i="18"/>
  <c r="N33" i="18"/>
  <c r="M33" i="18"/>
  <c r="W32" i="18"/>
  <c r="V32" i="18"/>
  <c r="U32" i="18"/>
  <c r="T32" i="18"/>
  <c r="S32" i="18"/>
  <c r="F13" i="15"/>
  <c r="R32" i="18"/>
  <c r="Q32" i="18"/>
  <c r="P32" i="18"/>
  <c r="O32" i="18"/>
  <c r="C13" i="15"/>
  <c r="N32" i="18"/>
  <c r="B13" i="15"/>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6" i="18"/>
  <c r="I9" i="18"/>
  <c r="I77" i="14"/>
  <c r="I9" i="59"/>
  <c r="B17" i="18"/>
  <c r="B20" i="18"/>
  <c r="C6" i="17"/>
  <c r="E10" i="59"/>
  <c r="G77" i="14"/>
  <c r="G9" i="59"/>
  <c r="G10" i="59"/>
  <c r="J9" i="18"/>
  <c r="J77" i="14"/>
  <c r="J9" i="59"/>
  <c r="E20" i="59"/>
  <c r="C46" i="18"/>
  <c r="I49"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9" i="18"/>
  <c r="I50" i="18"/>
  <c r="H17" i="18"/>
  <c r="E50" i="18"/>
  <c r="E17" i="18"/>
  <c r="H50" i="18"/>
  <c r="D50" i="18"/>
  <c r="G50" i="18"/>
  <c r="C50" i="18"/>
  <c r="F50" i="18"/>
  <c r="B50" i="18"/>
  <c r="C17" i="18"/>
  <c r="Q14" i="48"/>
  <c r="O24" i="48"/>
  <c r="O30" i="48"/>
  <c r="P24" i="48"/>
  <c r="P30" i="48"/>
  <c r="E78" i="14"/>
  <c r="E90" i="14"/>
  <c r="N78" i="14"/>
  <c r="B49" i="18"/>
  <c r="C8" i="18"/>
  <c r="C10" i="18"/>
  <c r="Q77" i="14"/>
  <c r="P9" i="59"/>
  <c r="O9" i="18"/>
  <c r="G78" i="14"/>
  <c r="C77" i="14"/>
  <c r="C9" i="59"/>
  <c r="F49" i="18"/>
  <c r="G49" i="18"/>
  <c r="I8" i="18"/>
  <c r="H49" i="18"/>
  <c r="C49" i="18"/>
  <c r="E49"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<sst xmlns="http://schemas.openxmlformats.org/spreadsheetml/2006/main" count="2416" uniqueCount="890">
  <si>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</si>
  <si>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</si>
  <si>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</si>
  <si>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</si>
  <si>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</si>
  <si>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</si>
  <si>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</si>
  <si>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</si>
  <si>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</si>
  <si>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</si>
  <si>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</si>
  <si>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</si>
  <si>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</si>
  <si>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</si>
  <si>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</si>
  <si>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</si>
  <si>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</si>
  <si>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</si>
  <si>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</si>
  <si>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</si>
  <si>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</si>
  <si>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</si>
  <si>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</si>
  <si>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</si>
  <si>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</si>
  <si>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</si>
  <si>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</si>
  <si>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</si>
  <si>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</si>
  <si>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</si>
  <si>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</si>
  <si>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</si>
  <si>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</si>
  <si>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</si>
  <si>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</si>
  <si>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</si>
  <si>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</si>
  <si>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</si>
  <si>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</si>
  <si>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</si>
  <si>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</si>
  <si>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</si>
  <si>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</si>
  <si>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</si>
  <si>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</si>
  <si>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</si>
  <si>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</si>
  <si>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</si>
  <si>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</si>
  <si>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</si>
  <si>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</si>
  <si>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</si>
  <si>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</si>
  <si>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</si>
  <si>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</si>
  <si>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</si>
  <si>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</si>
  <si>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</si>
  <si>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</si>
  <si>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</si>
  <si>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</si>
  <si>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</si>
  <si>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</si>
  <si>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</si>
  <si>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</si>
  <si>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</si>
  <si>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</si>
  <si>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</si>
  <si>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</si>
  <si>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</si>
  <si>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</si>
  <si>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</si>
  <si>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</si>
  <si>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</si>
  <si>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</si>
  <si>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</si>
  <si>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</si>
  <si>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</si>
  <si>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</si>
  <si>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</si>
  <si>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</si>
  <si>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</si>
  <si>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</si>
  <si>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</si>
  <si>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</si>
  <si>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</si>
  <si>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</si>
  <si>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</si>
  <si>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</si>
  <si>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</si>
  <si>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</si>
  <si>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</si>
  <si>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</si>
  <si>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</si>
  <si>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</si>
  <si>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</si>
  <si>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</si>
  <si>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</si>
  <si>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</si>
  <si>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</si>
  <si>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</si>
  <si>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</si>
  <si>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</si>
  <si>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</si>
  <si>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</si>
  <si>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</si>
  <si>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</si>
  <si>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</si>
  <si>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</si>
  <si>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</si>
  <si>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</si>
  <si>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</si>
  <si>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</si>
  <si>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</si>
  <si>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</si>
  <si>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</si>
  <si>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</si>
  <si>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</si>
  <si>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</si>
  <si>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</si>
  <si>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</si>
  <si>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</si>
  <si>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</si>
  <si>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</si>
  <si>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</si>
  <si>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</si>
  <si>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</si>
  <si>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</si>
  <si>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</si>
  <si>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</si>
  <si>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</si>
  <si>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</si>
  <si>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</si>
  <si>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</si>
  <si>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</si>
  <si>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</si>
  <si>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</si>
  <si>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</si>
  <si>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</si>
  <si>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</si>
  <si>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</si>
  <si>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</si>
  <si>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</si>
  <si>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</si>
  <si>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</si>
  <si>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</si>
  <si>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</si>
  <si>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</si>
  <si>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</si>
  <si>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</si>
  <si>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</si>
  <si>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</si>
  <si>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</si>
  <si>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</si>
  <si>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</si>
  <si>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</si>
  <si>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</si>
  <si>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</si>
  <si>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</si>
  <si>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</si>
  <si>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</si>
  <si>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</si>
  <si>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</si>
  <si>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</si>
  <si>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</si>
  <si>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</si>
  <si>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</si>
  <si>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</si>
  <si>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</si>
  <si>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</si>
  <si>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</si>
  <si>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</si>
  <si>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</si>
  <si>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</si>
  <si>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</si>
  <si>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</si>
  <si>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</si>
  <si>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</si>
  <si>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</si>
  <si>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</si>
  <si>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</si>
  <si>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</si>
  <si>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</si>
  <si>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</si>
  <si>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</si>
  <si>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</si>
  <si>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</si>
  <si>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</si>
  <si>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</si>
  <si>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</si>
  <si>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</si>
  <si>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</si>
  <si>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</si>
  <si>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</si>
  <si>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</si>
  <si>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</si>
  <si>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</si>
  <si>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</si>
  <si>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</si>
  <si>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</si>
  <si>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</si>
  <si>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</si>
  <si>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</si>
  <si>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</si>
  <si>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</si>
  <si>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</si>
  <si>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</si>
  <si>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</si>
  <si>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</si>
  <si>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</si>
  <si>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</si>
  <si>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</si>
  <si>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</si>
  <si>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</si>
  <si>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</si>
  <si>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</si>
  <si>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</si>
  <si>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</si>
  <si>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</si>
  <si>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</si>
  <si>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</si>
  <si>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</si>
  <si>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</si>
  <si>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</si>
  <si>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</si>
  <si>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</si>
  <si>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</si>
  <si>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</si>
  <si>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</si>
  <si>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</si>
  <si>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</si>
  <si>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</si>
  <si>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</si>
  <si>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</si>
  <si>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</si>
  <si>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</si>
  <si>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</si>
  <si>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</si>
  <si>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</si>
  <si>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</si>
  <si>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</si>
  <si>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</si>
  <si>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</si>
  <si>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</si>
  <si>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</si>
  <si>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</si>
  <si>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</si>
  <si>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</si>
  <si>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</si>
  <si>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</si>
  <si>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</si>
  <si>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</si>
  <si>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</si>
  <si>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</si>
  <si>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</si>
  <si>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</si>
  <si>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</si>
  <si>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</si>
  <si>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</si>
  <si>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</si>
  <si>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</si>
  <si>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</si>
  <si>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</si>
  <si>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</si>
  <si>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</si>
  <si>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</si>
  <si>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</si>
  <si>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</si>
  <si>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</si>
  <si>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</si>
  <si>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</si>
  <si>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</si>
  <si>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</si>
  <si>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</si>
  <si>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</si>
  <si>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</si>
  <si>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</si>
  <si>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</si>
  <si>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</si>
  <si>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</si>
  <si>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</si>
  <si>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</si>
  <si>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</si>
  <si>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</si>
  <si>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</si>
  <si>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</si>
  <si>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</si>
  <si>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</si>
  <si>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</si>
  <si>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</si>
  <si>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</si>
  <si>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</si>
  <si>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</si>
  <si>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</si>
  <si>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</si>
  <si>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</si>
  <si>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</si>
  <si>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</si>
  <si>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</si>
  <si>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</si>
  <si>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</si>
  <si>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</si>
  <si>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</si>
  <si>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</si>
  <si>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</si>
  <si>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</si>
  <si>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</si>
  <si>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</si>
  <si>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</si>
  <si>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</si>
  <si>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</si>
  <si>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</si>
  <si>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</si>
  <si>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</si>
  <si>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</si>
  <si>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</si>
  <si>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</si>
  <si>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</si>
  <si>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</si>
  <si>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</si>
  <si>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</si>
  <si>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</si>
  <si>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</si>
  <si>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</si>
  <si>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</si>
  <si>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</si>
  <si>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</si>
  <si>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</si>
  <si>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</si>
  <si>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</si>
  <si>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</si>
  <si>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</si>
  <si>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</si>
  <si>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</si>
  <si>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</si>
  <si>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</si>
  <si>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</si>
  <si>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</si>
  <si>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</si>
  <si>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</si>
  <si>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</si>
  <si>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</si>
  <si>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</si>
  <si>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</si>
  <si>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</si>
  <si>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</si>
  <si>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</si>
  <si>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</si>
  <si>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</si>
  <si>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</si>
  <si>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</si>
  <si>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</si>
  <si>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</si>
  <si>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</si>
  <si>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</si>
  <si>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</si>
  <si>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</si>
  <si>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</si>
  <si>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</si>
  <si>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</si>
  <si>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</si>
  <si>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</si>
  <si>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</si>
  <si>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</si>
  <si>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</si>
  <si>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</si>
  <si>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</si>
  <si>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</si>
  <si>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</si>
  <si>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</si>
  <si>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</si>
  <si>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</si>
  <si>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</si>
  <si>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</si>
  <si>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</si>
  <si>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</si>
  <si>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</si>
  <si>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</si>
  <si>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</si>
  <si>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</si>
  <si>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</si>
  <si>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</si>
  <si>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</si>
  <si>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</si>
  <si>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</si>
  <si>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</si>
  <si>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</si>
  <si>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</si>
  <si>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</si>
  <si>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</si>
  <si>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</si>
  <si>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</si>
  <si>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</si>
  <si>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</si>
  <si>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</si>
  <si>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</si>
  <si>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</si>
  <si>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</si>
  <si>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</si>
  <si>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</si>
  <si>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</si>
  <si>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</si>
  <si>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</si>
  <si>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</si>
  <si>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</si>
  <si>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</si>
  <si>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</si>
  <si>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</si>
  <si>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</si>
  <si>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</si>
  <si>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</si>
  <si>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</si>
  <si>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</si>
  <si>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</si>
  <si>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</si>
  <si>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</si>
  <si>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</si>
  <si>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</si>
  <si>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</si>
  <si>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</si>
  <si>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</si>
  <si>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</si>
  <si>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</si>
  <si>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</si>
  <si>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</si>
  <si>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</si>
  <si>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</si>
  <si>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</si>
  <si>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</si>
  <si>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</si>
  <si>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</si>
  <si>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</si>
  <si>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</si>
  <si>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</si>
  <si>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</si>
  <si>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</si>
  <si>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</si>
  <si>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</si>
  <si>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</si>
  <si>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</si>
  <si>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</si>
  <si>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</si>
  <si>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</si>
  <si>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</si>
  <si>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</si>
  <si>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</si>
  <si>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</si>
  <si>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</si>
  <si>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</si>
  <si>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</si>
  <si>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</si>
  <si>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</si>
  <si>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</si>
  <si>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</si>
  <si>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</si>
  <si>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</si>
  <si>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</si>
  <si>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</si>
  <si>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</si>
  <si>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</si>
  <si>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</si>
  <si>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</si>
  <si>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</si>
  <si>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</si>
  <si>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</si>
  <si>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</si>
  <si>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</si>
  <si>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</si>
  <si>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</si>
  <si>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</si>
  <si>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</si>
  <si>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</si>
  <si>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</si>
  <si>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</si>
  <si>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</si>
  <si>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</si>
  <si>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</si>
  <si>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</si>
  <si>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</si>
  <si>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</si>
  <si>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</si>
  <si>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</si>
  <si>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</si>
  <si>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</si>
  <si>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</si>
  <si>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</si>
  <si>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</si>
  <si>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</si>
  <si>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</si>
  <si>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</si>
  <si>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</si>
  <si>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</si>
  <si>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</si>
  <si>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</si>
  <si>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</si>
  <si>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</si>
  <si>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</si>
  <si>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</si>
  <si>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</si>
  <si>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</si>
  <si>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</si>
  <si>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</si>
  <si>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</si>
  <si>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</si>
  <si>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</si>
  <si>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</si>
  <si>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</si>
  <si>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</si>
  <si>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</si>
  <si>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</si>
  <si>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</si>
  <si>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</si>
  <si>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</si>
  <si>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</si>
  <si>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</si>
  <si>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</si>
  <si>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</si>
  <si>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</si>
  <si>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</si>
  <si>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</si>
  <si>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</si>
  <si>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</si>
  <si>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</si>
  <si>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</si>
  <si>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</si>
  <si>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</si>
  <si>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</si>
  <si>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</si>
  <si>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</si>
  <si>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</si>
  <si>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</si>
  <si>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</si>
  <si>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</si>
  <si>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</si>
  <si>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</si>
  <si>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</si>
  <si>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</si>
  <si>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</si>
  <si>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</si>
  <si>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</si>
  <si>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</si>
  <si>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</si>
  <si>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</si>
  <si>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</si>
  <si>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</si>
  <si>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</si>
  <si>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</si>
  <si>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</si>
  <si>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</si>
  <si>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</si>
  <si>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</si>
  <si>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</si>
  <si>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</si>
  <si>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</si>
  <si>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</si>
  <si>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</si>
  <si>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</si>
  <si>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</si>
  <si>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</si>
  <si>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</si>
  <si>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</si>
  <si>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</si>
  <si>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</si>
  <si>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</si>
  <si>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</si>
  <si>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</si>
  <si>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</si>
  <si>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</si>
  <si>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</si>
  <si>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</si>
  <si>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</si>
  <si>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</si>
  <si>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</si>
  <si>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</si>
  <si>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</si>
  <si>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</si>
  <si>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</si>
  <si>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</si>
  <si>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</si>
  <si>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</si>
  <si>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</si>
  <si>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</si>
  <si>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</si>
  <si>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</si>
  <si>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</si>
  <si>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</si>
  <si>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</si>
  <si>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</si>
  <si>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</si>
  <si>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</si>
  <si>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</si>
  <si>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</si>
  <si>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</si>
  <si>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</si>
  <si>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</si>
  <si>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</si>
  <si>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</si>
  <si>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</si>
  <si>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</si>
  <si>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</si>
  <si>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</si>
  <si>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</si>
  <si>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</si>
  <si>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</si>
  <si>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</si>
  <si>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</si>
  <si>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</si>
  <si>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</si>
  <si>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</si>
  <si>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</si>
  <si>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</si>
  <si>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</si>
  <si>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</si>
  <si>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</si>
  <si>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</si>
  <si>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</si>
  <si>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</si>
  <si>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</si>
  <si>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</si>
  <si>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</si>
  <si>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</si>
  <si>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</si>
  <si>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</si>
  <si>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</si>
  <si>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</si>
  <si>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</si>
  <si>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</si>
  <si>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</si>
  <si>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</si>
  <si>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</si>
  <si>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</si>
  <si>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</si>
  <si>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</si>
  <si>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</si>
  <si>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</si>
  <si>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</si>
  <si>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</si>
  <si>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</si>
  <si>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</si>
  <si>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</si>
  <si>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</si>
  <si>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</si>
  <si>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</si>
  <si>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</si>
  <si>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</si>
  <si>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</si>
  <si>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</si>
  <si>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</si>
  <si>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</si>
  <si>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</si>
  <si>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</si>
  <si>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</si>
  <si>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</si>
  <si>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</si>
  <si>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</si>
  <si>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</si>
  <si>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</si>
  <si>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</si>
  <si>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</si>
  <si>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</si>
  <si>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</si>
  <si>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</si>
  <si>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</si>
  <si>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</si>
  <si>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</si>
  <si>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</si>
  <si>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</si>
  <si>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</si>
  <si>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</si>
  <si>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</si>
  <si>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</si>
  <si>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</si>
  <si>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</si>
  <si>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</si>
  <si>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</si>
  <si>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</si>
  <si>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</si>
  <si>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</si>
  <si>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</si>
  <si>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</si>
  <si>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</si>
  <si>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</si>
  <si>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</si>
  <si>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</si>
  <si>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</si>
  <si>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</si>
  <si>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</si>
  <si>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</si>
  <si>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</si>
  <si>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</si>
  <si>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</si>
  <si>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</si>
  <si>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</si>
  <si>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</si>
  <si>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</si>
  <si>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</si>
  <si>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</si>
  <si>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</si>
  <si>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</si>
  <si>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</si>
  <si>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</si>
  <si>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</si>
  <si>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</si>
  <si>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</si>
  <si>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</si>
  <si>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</si>
  <si>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</si>
  <si>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</si>
  <si>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</si>
  <si>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</si>
  <si>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</si>
  <si>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</si>
  <si>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</si>
  <si>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</si>
  <si>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</si>
  <si>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</si>
  <si>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</si>
  <si>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</si>
  <si>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</si>
  <si>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</si>
  <si>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</si>
  <si>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</si>
  <si>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</si>
  <si>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</si>
  <si>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</si>
  <si>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</si>
  <si>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</si>
  <si>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</si>
  <si>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</si>
  <si>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</si>
  <si>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</si>
  <si>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</si>
  <si>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</si>
  <si>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</si>
  <si>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</si>
  <si>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</si>
  <si>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</si>
  <si>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</si>
  <si>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</si>
  <si>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</si>
  <si>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</si>
  <si>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</si>
  <si>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</si>
  <si>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</si>
  <si>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</si>
  <si>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</si>
  <si>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</si>
  <si>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</si>
  <si>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</si>
  <si>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</si>
  <si>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</si>
  <si>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</si>
  <si>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</si>
  <si>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</si>
  <si>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</si>
  <si>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</si>
  <si>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</si>
  <si>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</si>
  <si>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</si>
  <si>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</si>
  <si>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</si>
  <si>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</si>
  <si>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</si>
  <si>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</si>
  <si>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</si>
  <si>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</si>
  <si>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</si>
  <si>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</si>
  <si>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</si>
  <si>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</si>
  <si>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</si>
  <si>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</si>
  <si>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</si>
  <si>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</si>
  <si>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</si>
  <si>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</si>
  <si>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</si>
  <si>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</si>
  <si>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</si>
  <si>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</si>
  <si>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</si>
  <si>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</si>
  <si>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</si>
  <si>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</si>
  <si>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</si>
  <si>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</si>
  <si>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</si>
  <si>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</si>
  <si>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</si>
  <si>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</si>
  <si>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</si>
  <si>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</si>
  <si>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</si>
  <si>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</si>
  <si>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</si>
  <si>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</si>
  <si>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</si>
  <si>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</si>
  <si>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</si>
  <si>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</si>
  <si>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</si>
  <si>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</si>
  <si>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</si>
  <si>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</si>
  <si>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</si>
  <si>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</si>
  <si>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</si>
  <si>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</si>
  <si>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</si>
  <si>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</si>
  <si>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</si>
  <si>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</si>
  <si>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</si>
  <si>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</si>
  <si>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</si>
  <si>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</si>
  <si>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</si>
  <si>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</si>
  <si>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</si>
  <si>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</si>
  <si>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</si>
  <si>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</si>
  <si>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</si>
  <si>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</si>
  <si>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</si>
  <si>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</si>
  <si>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</si>
  <si>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</si>
  <si>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</si>
  <si>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</si>
  <si>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</si>
  <si>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</si>
  <si>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</si>
  <si>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</si>
  <si>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</si>
  <si>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</si>
  <si>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</si>
  <si>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</si>
  <si>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</si>
  <si>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</si>
  <si>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</si>
  <si>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</si>
  <si>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</si>
  <si>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</si>
  <si>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</si>
  <si>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</si>
  <si>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</si>
  <si>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</si>
  <si>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</si>
  <si>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</si>
  <si>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</si>
  <si>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</si>
  <si>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</si>
  <si>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</si>
  <si>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</si>
  <si>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</si>
  <si>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</si>
  <si>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</si>
  <si>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</si>
  <si>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</si>
  <si>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</si>
  <si>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</si>
  <si>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</si>
  <si>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</si>
  <si>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</si>
  <si>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</si>
  <si>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</si>
  <si>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</si>
  <si>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</si>
  <si>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</si>
  <si>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</si>
  <si>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</si>
  <si>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</si>
  <si>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</si>
  <si>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</si>
  <si>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</si>
  <si>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</si>
  <si>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</si>
  <si>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</si>
  <si>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</si>
  <si>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</si>
  <si>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</si>
  <si>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24020</t>
  </si>
  <si>
    <t>DIEST</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</si>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</sst>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F13C8DA-8E3A-4244-A2EC-FE155AD4381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196947.40100236869</c:v>
                </c:pt>
                <c:pt idx="1">
                  <c:v>107555.63662356063</c:v>
                </c:pt>
                <c:pt idx="2">
                  <c:v>2014.837</c:v>
                </c:pt>
                <c:pt idx="3">
                  <c:v>26252.845600985071</c:v>
                </c:pt>
                <c:pt idx="4">
                  <c:v>62524.15810105019</c:v>
                </c:pt>
                <c:pt idx="5">
                  <c:v>147232.25937728639</c:v>
                </c:pt>
                <c:pt idx="6">
                  <c:v>3114.5504533236699</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196947.40100236869</c:v>
                </c:pt>
                <c:pt idx="1">
                  <c:v>107555.63662356063</c:v>
                </c:pt>
                <c:pt idx="2">
                  <c:v>2014.837</c:v>
                </c:pt>
                <c:pt idx="3">
                  <c:v>26252.845600985071</c:v>
                </c:pt>
                <c:pt idx="4">
                  <c:v>62524.15810105019</c:v>
                </c:pt>
                <c:pt idx="5">
                  <c:v>147232.25937728639</c:v>
                </c:pt>
                <c:pt idx="6">
                  <c:v>3114.5504533236699</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40151.123477457768</c:v>
                </c:pt>
                <c:pt idx="2">
                  <c:v>20392.36353324126</c:v>
                </c:pt>
                <c:pt idx="3">
                  <c:v>335.32642497918096</c:v>
                </c:pt>
                <c:pt idx="4">
                  <c:v>6316.3215027531123</c:v>
                </c:pt>
                <c:pt idx="5">
                  <c:v>12322.266362774939</c:v>
                </c:pt>
                <c:pt idx="6">
                  <c:v>37677.267019992803</c:v>
                </c:pt>
                <c:pt idx="7">
                  <c:v>804.85371333631736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40151.123477457768</c:v>
                </c:pt>
                <c:pt idx="2">
                  <c:v>20392.36353324126</c:v>
                </c:pt>
                <c:pt idx="3">
                  <c:v>335.32642497918096</c:v>
                </c:pt>
                <c:pt idx="4">
                  <c:v>6316.3215027531123</c:v>
                </c:pt>
                <c:pt idx="5">
                  <c:v>12322.266362774939</c:v>
                </c:pt>
                <c:pt idx="6">
                  <c:v>37677.267019992803</c:v>
                </c:pt>
                <c:pt idx="7">
                  <c:v>804.85371333631736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24020</v>
      </c>
      <c r="B6" s="380"/>
      <c r="C6" s="381"/>
    </row>
    <row r="7" spans="1:7" s="378" customFormat="1" ht="15.75" customHeight="1">
      <c r="A7" s="382" t="str">
        <f>txtMunicipality</f>
        <v>DIEST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0.16642856220090307</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0.16642856220090307</v>
      </c>
      <c r="C29" s="489">
        <f ca="1">'EF ele_warmte'!B22</f>
        <v>0.23764705882352938</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10023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2466.5300000000002</v>
      </c>
      <c r="C14" s="322"/>
      <c r="D14" s="322"/>
      <c r="E14" s="322"/>
      <c r="F14" s="322"/>
    </row>
    <row r="15" spans="1:6">
      <c r="A15" s="1248" t="s">
        <v>177</v>
      </c>
      <c r="B15" s="1249">
        <v>313</v>
      </c>
      <c r="C15" s="322"/>
      <c r="D15" s="322"/>
      <c r="E15" s="322"/>
      <c r="F15" s="322"/>
    </row>
    <row r="16" spans="1:6">
      <c r="A16" s="1248" t="s">
        <v>6</v>
      </c>
      <c r="B16" s="1249">
        <v>389</v>
      </c>
      <c r="C16" s="322"/>
      <c r="D16" s="322"/>
      <c r="E16" s="322"/>
      <c r="F16" s="322"/>
    </row>
    <row r="17" spans="1:6">
      <c r="A17" s="1248" t="s">
        <v>7</v>
      </c>
      <c r="B17" s="1249">
        <v>348</v>
      </c>
      <c r="C17" s="322"/>
      <c r="D17" s="322"/>
      <c r="E17" s="322"/>
      <c r="F17" s="322"/>
    </row>
    <row r="18" spans="1:6">
      <c r="A18" s="1248" t="s">
        <v>8</v>
      </c>
      <c r="B18" s="1249">
        <v>514</v>
      </c>
      <c r="C18" s="322"/>
      <c r="D18" s="322"/>
      <c r="E18" s="322"/>
      <c r="F18" s="322"/>
    </row>
    <row r="19" spans="1:6">
      <c r="A19" s="1248" t="s">
        <v>9</v>
      </c>
      <c r="B19" s="1249">
        <v>437</v>
      </c>
      <c r="C19" s="322"/>
      <c r="D19" s="322"/>
      <c r="E19" s="322"/>
      <c r="F19" s="322"/>
    </row>
    <row r="20" spans="1:6">
      <c r="A20" s="1248" t="s">
        <v>10</v>
      </c>
      <c r="B20" s="1249">
        <v>301</v>
      </c>
      <c r="C20" s="322"/>
      <c r="D20" s="322"/>
      <c r="E20" s="322"/>
      <c r="F20" s="322"/>
    </row>
    <row r="21" spans="1:6">
      <c r="A21" s="1248" t="s">
        <v>11</v>
      </c>
      <c r="B21" s="1249">
        <v>1709</v>
      </c>
      <c r="C21" s="322"/>
      <c r="D21" s="322"/>
      <c r="E21" s="322"/>
      <c r="F21" s="322"/>
    </row>
    <row r="22" spans="1:6">
      <c r="A22" s="1248" t="s">
        <v>12</v>
      </c>
      <c r="B22" s="1249">
        <v>7095</v>
      </c>
      <c r="C22" s="322"/>
      <c r="D22" s="322"/>
      <c r="E22" s="322"/>
      <c r="F22" s="322"/>
    </row>
    <row r="23" spans="1:6">
      <c r="A23" s="1248" t="s">
        <v>13</v>
      </c>
      <c r="B23" s="1249">
        <v>110</v>
      </c>
      <c r="C23" s="322"/>
      <c r="D23" s="322"/>
      <c r="E23" s="322"/>
      <c r="F23" s="322"/>
    </row>
    <row r="24" spans="1:6">
      <c r="A24" s="1248" t="s">
        <v>14</v>
      </c>
      <c r="B24" s="1249">
        <v>9</v>
      </c>
      <c r="C24" s="322"/>
      <c r="D24" s="322"/>
      <c r="E24" s="322"/>
      <c r="F24" s="322"/>
    </row>
    <row r="25" spans="1:6">
      <c r="A25" s="1248" t="s">
        <v>15</v>
      </c>
      <c r="B25" s="1249">
        <v>522</v>
      </c>
      <c r="C25" s="322"/>
      <c r="D25" s="322"/>
      <c r="E25" s="322"/>
      <c r="F25" s="322"/>
    </row>
    <row r="26" spans="1:6">
      <c r="A26" s="1248" t="s">
        <v>16</v>
      </c>
      <c r="B26" s="1249">
        <v>87</v>
      </c>
      <c r="C26" s="322"/>
      <c r="D26" s="322"/>
      <c r="E26" s="322"/>
      <c r="F26" s="322"/>
    </row>
    <row r="27" spans="1:6">
      <c r="A27" s="1248" t="s">
        <v>17</v>
      </c>
      <c r="B27" s="1249">
        <v>0</v>
      </c>
      <c r="C27" s="322"/>
      <c r="D27" s="322"/>
      <c r="E27" s="322"/>
      <c r="F27" s="322"/>
    </row>
    <row r="28" spans="1:6">
      <c r="A28" s="1248" t="s">
        <v>18</v>
      </c>
      <c r="B28" s="1250">
        <v>143959</v>
      </c>
      <c r="C28" s="322"/>
      <c r="D28" s="322"/>
      <c r="E28" s="322"/>
      <c r="F28" s="322"/>
    </row>
    <row r="29" spans="1:6">
      <c r="A29" s="1248" t="s">
        <v>884</v>
      </c>
      <c r="B29" s="1250">
        <v>161</v>
      </c>
      <c r="C29" s="322"/>
      <c r="D29" s="322"/>
      <c r="E29" s="322"/>
      <c r="F29" s="322"/>
    </row>
    <row r="30" spans="1:6">
      <c r="A30" s="1243" t="s">
        <v>885</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8</v>
      </c>
      <c r="F36" s="1249">
        <v>66617</v>
      </c>
    </row>
    <row r="37" spans="1:6">
      <c r="A37" s="1248" t="s">
        <v>24</v>
      </c>
      <c r="B37" s="1248" t="s">
        <v>27</v>
      </c>
      <c r="C37" s="1249">
        <v>0</v>
      </c>
      <c r="D37" s="1249">
        <v>0</v>
      </c>
      <c r="E37" s="1249">
        <v>3</v>
      </c>
      <c r="F37" s="1249">
        <v>46085</v>
      </c>
    </row>
    <row r="38" spans="1:6">
      <c r="A38" s="1248" t="s">
        <v>24</v>
      </c>
      <c r="B38" s="1248" t="s">
        <v>28</v>
      </c>
      <c r="C38" s="1249">
        <v>0</v>
      </c>
      <c r="D38" s="1249">
        <v>0</v>
      </c>
      <c r="E38" s="1249">
        <v>0</v>
      </c>
      <c r="F38" s="1249">
        <v>0</v>
      </c>
    </row>
    <row r="39" spans="1:6">
      <c r="A39" s="1248" t="s">
        <v>29</v>
      </c>
      <c r="B39" s="1248" t="s">
        <v>30</v>
      </c>
      <c r="C39" s="1249">
        <v>5367</v>
      </c>
      <c r="D39" s="1249">
        <v>76044879.311000004</v>
      </c>
      <c r="E39" s="1249">
        <v>10176</v>
      </c>
      <c r="F39" s="1249">
        <v>35161101</v>
      </c>
    </row>
    <row r="40" spans="1:6">
      <c r="A40" s="1248" t="s">
        <v>29</v>
      </c>
      <c r="B40" s="1248" t="s">
        <v>28</v>
      </c>
      <c r="C40" s="1249">
        <v>0</v>
      </c>
      <c r="D40" s="1249">
        <v>0</v>
      </c>
      <c r="E40" s="1249">
        <v>0</v>
      </c>
      <c r="F40" s="1249">
        <v>0</v>
      </c>
    </row>
    <row r="41" spans="1:6">
      <c r="A41" s="1248" t="s">
        <v>31</v>
      </c>
      <c r="B41" s="1248" t="s">
        <v>32</v>
      </c>
      <c r="C41" s="1249">
        <v>50</v>
      </c>
      <c r="D41" s="1249">
        <v>3541901.0044</v>
      </c>
      <c r="E41" s="1249">
        <v>229</v>
      </c>
      <c r="F41" s="1249">
        <v>15822065</v>
      </c>
    </row>
    <row r="42" spans="1:6">
      <c r="A42" s="1248" t="s">
        <v>31</v>
      </c>
      <c r="B42" s="1248" t="s">
        <v>33</v>
      </c>
      <c r="C42" s="1249">
        <v>0</v>
      </c>
      <c r="D42" s="1249">
        <v>0</v>
      </c>
      <c r="E42" s="1249">
        <v>4</v>
      </c>
      <c r="F42" s="1249">
        <v>12829</v>
      </c>
    </row>
    <row r="43" spans="1:6">
      <c r="A43" s="1248" t="s">
        <v>31</v>
      </c>
      <c r="B43" s="1248" t="s">
        <v>34</v>
      </c>
      <c r="C43" s="1249">
        <v>0</v>
      </c>
      <c r="D43" s="1249">
        <v>0</v>
      </c>
      <c r="E43" s="1249">
        <v>0</v>
      </c>
      <c r="F43" s="1249">
        <v>0</v>
      </c>
    </row>
    <row r="44" spans="1:6">
      <c r="A44" s="1248" t="s">
        <v>31</v>
      </c>
      <c r="B44" s="1248" t="s">
        <v>35</v>
      </c>
      <c r="C44" s="1249">
        <v>0</v>
      </c>
      <c r="D44" s="1249">
        <v>0</v>
      </c>
      <c r="E44" s="1249">
        <v>19</v>
      </c>
      <c r="F44" s="1249">
        <v>4334203</v>
      </c>
    </row>
    <row r="45" spans="1:6">
      <c r="A45" s="1248" t="s">
        <v>31</v>
      </c>
      <c r="B45" s="1248" t="s">
        <v>36</v>
      </c>
      <c r="C45" s="1249">
        <v>0</v>
      </c>
      <c r="D45" s="1249">
        <v>0</v>
      </c>
      <c r="E45" s="1249">
        <v>11</v>
      </c>
      <c r="F45" s="1249">
        <v>581409</v>
      </c>
    </row>
    <row r="46" spans="1:6">
      <c r="A46" s="1248" t="s">
        <v>31</v>
      </c>
      <c r="B46" s="1248" t="s">
        <v>37</v>
      </c>
      <c r="C46" s="1249">
        <v>0</v>
      </c>
      <c r="D46" s="1249">
        <v>0</v>
      </c>
      <c r="E46" s="1249">
        <v>0</v>
      </c>
      <c r="F46" s="1249">
        <v>0</v>
      </c>
    </row>
    <row r="47" spans="1:6">
      <c r="A47" s="1248" t="s">
        <v>31</v>
      </c>
      <c r="B47" s="1248" t="s">
        <v>38</v>
      </c>
      <c r="C47" s="1249">
        <v>3</v>
      </c>
      <c r="D47" s="1249">
        <v>676900.22962999996</v>
      </c>
      <c r="E47" s="1249">
        <v>8</v>
      </c>
      <c r="F47" s="1249">
        <v>1246338</v>
      </c>
    </row>
    <row r="48" spans="1:6">
      <c r="A48" s="1248" t="s">
        <v>31</v>
      </c>
      <c r="B48" s="1248" t="s">
        <v>28</v>
      </c>
      <c r="C48" s="1249">
        <v>53</v>
      </c>
      <c r="D48" s="1249">
        <v>10454386.028999999</v>
      </c>
      <c r="E48" s="1249">
        <v>0</v>
      </c>
      <c r="F48" s="1249">
        <v>0</v>
      </c>
    </row>
    <row r="49" spans="1:6">
      <c r="A49" s="1248" t="s">
        <v>31</v>
      </c>
      <c r="B49" s="1248" t="s">
        <v>39</v>
      </c>
      <c r="C49" s="1249">
        <v>0</v>
      </c>
      <c r="D49" s="1249">
        <v>0</v>
      </c>
      <c r="E49" s="1249">
        <v>6</v>
      </c>
      <c r="F49" s="1249">
        <v>144024</v>
      </c>
    </row>
    <row r="50" spans="1:6">
      <c r="A50" s="1248" t="s">
        <v>31</v>
      </c>
      <c r="B50" s="1248" t="s">
        <v>40</v>
      </c>
      <c r="C50" s="1249">
        <v>7</v>
      </c>
      <c r="D50" s="1249">
        <v>430928.46911000001</v>
      </c>
      <c r="E50" s="1249">
        <v>20</v>
      </c>
      <c r="F50" s="1249">
        <v>3101747</v>
      </c>
    </row>
    <row r="51" spans="1:6">
      <c r="A51" s="1248" t="s">
        <v>41</v>
      </c>
      <c r="B51" s="1248" t="s">
        <v>42</v>
      </c>
      <c r="C51" s="1249">
        <v>5</v>
      </c>
      <c r="D51" s="1249">
        <v>69211.997789000001</v>
      </c>
      <c r="E51" s="1249">
        <v>58</v>
      </c>
      <c r="F51" s="1249">
        <v>1224079</v>
      </c>
    </row>
    <row r="52" spans="1:6">
      <c r="A52" s="1248" t="s">
        <v>41</v>
      </c>
      <c r="B52" s="1248" t="s">
        <v>28</v>
      </c>
      <c r="C52" s="1249">
        <v>6</v>
      </c>
      <c r="D52" s="1249">
        <v>29523942.886999998</v>
      </c>
      <c r="E52" s="1249">
        <v>0</v>
      </c>
      <c r="F52" s="1249">
        <v>0</v>
      </c>
    </row>
    <row r="53" spans="1:6">
      <c r="A53" s="1248" t="s">
        <v>43</v>
      </c>
      <c r="B53" s="1248" t="s">
        <v>44</v>
      </c>
      <c r="C53" s="1249">
        <v>155</v>
      </c>
      <c r="D53" s="1249">
        <v>7747037.2692999998</v>
      </c>
      <c r="E53" s="1249">
        <v>0</v>
      </c>
      <c r="F53" s="1249">
        <v>0</v>
      </c>
    </row>
    <row r="54" spans="1:6">
      <c r="A54" s="1248" t="s">
        <v>45</v>
      </c>
      <c r="B54" s="1248" t="s">
        <v>46</v>
      </c>
      <c r="C54" s="1249">
        <v>0</v>
      </c>
      <c r="D54" s="1249">
        <v>0</v>
      </c>
      <c r="E54" s="1249">
        <v>7</v>
      </c>
      <c r="F54" s="1249">
        <v>2014837</v>
      </c>
    </row>
    <row r="55" spans="1:6">
      <c r="A55" s="1248" t="s">
        <v>45</v>
      </c>
      <c r="B55" s="1248" t="s">
        <v>28</v>
      </c>
      <c r="C55" s="1249">
        <v>0</v>
      </c>
      <c r="D55" s="1249">
        <v>0</v>
      </c>
      <c r="E55" s="1249">
        <v>0</v>
      </c>
      <c r="F55" s="1249">
        <v>0</v>
      </c>
    </row>
    <row r="56" spans="1:6">
      <c r="A56" s="1248" t="s">
        <v>47</v>
      </c>
      <c r="B56" s="1248" t="s">
        <v>28</v>
      </c>
      <c r="C56" s="1249">
        <v>0</v>
      </c>
      <c r="D56" s="1249">
        <v>0</v>
      </c>
      <c r="E56" s="1249">
        <v>296</v>
      </c>
      <c r="F56" s="1249">
        <v>1241581</v>
      </c>
    </row>
    <row r="57" spans="1:6">
      <c r="A57" s="1248" t="s">
        <v>48</v>
      </c>
      <c r="B57" s="1248" t="s">
        <v>49</v>
      </c>
      <c r="C57" s="1249">
        <v>55</v>
      </c>
      <c r="D57" s="1249">
        <v>2397511.7760000001</v>
      </c>
      <c r="E57" s="1249">
        <v>138</v>
      </c>
      <c r="F57" s="1249">
        <v>3014964</v>
      </c>
    </row>
    <row r="58" spans="1:6">
      <c r="A58" s="1248" t="s">
        <v>48</v>
      </c>
      <c r="B58" s="1248" t="s">
        <v>50</v>
      </c>
      <c r="C58" s="1249">
        <v>62</v>
      </c>
      <c r="D58" s="1249">
        <v>7212849.8510999996</v>
      </c>
      <c r="E58" s="1249">
        <v>92</v>
      </c>
      <c r="F58" s="1249">
        <v>5303426</v>
      </c>
    </row>
    <row r="59" spans="1:6">
      <c r="A59" s="1248" t="s">
        <v>48</v>
      </c>
      <c r="B59" s="1248" t="s">
        <v>51</v>
      </c>
      <c r="C59" s="1249">
        <v>157</v>
      </c>
      <c r="D59" s="1249">
        <v>7107538.6078000003</v>
      </c>
      <c r="E59" s="1249">
        <v>411</v>
      </c>
      <c r="F59" s="1249">
        <v>25506078</v>
      </c>
    </row>
    <row r="60" spans="1:6">
      <c r="A60" s="1248" t="s">
        <v>48</v>
      </c>
      <c r="B60" s="1248" t="s">
        <v>52</v>
      </c>
      <c r="C60" s="1249">
        <v>82</v>
      </c>
      <c r="D60" s="1249">
        <v>3856629.0166000002</v>
      </c>
      <c r="E60" s="1249">
        <v>114</v>
      </c>
      <c r="F60" s="1249">
        <v>2963545</v>
      </c>
    </row>
    <row r="61" spans="1:6">
      <c r="A61" s="1248" t="s">
        <v>48</v>
      </c>
      <c r="B61" s="1248" t="s">
        <v>53</v>
      </c>
      <c r="C61" s="1249">
        <v>217</v>
      </c>
      <c r="D61" s="1249">
        <v>10661836.554</v>
      </c>
      <c r="E61" s="1249">
        <v>590</v>
      </c>
      <c r="F61" s="1249">
        <v>7577367</v>
      </c>
    </row>
    <row r="62" spans="1:6">
      <c r="A62" s="1248" t="s">
        <v>48</v>
      </c>
      <c r="B62" s="1248" t="s">
        <v>54</v>
      </c>
      <c r="C62" s="1249">
        <v>26</v>
      </c>
      <c r="D62" s="1249">
        <v>3186045.1677999999</v>
      </c>
      <c r="E62" s="1249">
        <v>28</v>
      </c>
      <c r="F62" s="1249">
        <v>1875342</v>
      </c>
    </row>
    <row r="63" spans="1:6">
      <c r="A63" s="1248" t="s">
        <v>48</v>
      </c>
      <c r="B63" s="1248" t="s">
        <v>28</v>
      </c>
      <c r="C63" s="1249">
        <v>167</v>
      </c>
      <c r="D63" s="1249">
        <v>21245265.943999998</v>
      </c>
      <c r="E63" s="1249">
        <v>0</v>
      </c>
      <c r="F63" s="1249">
        <v>16895</v>
      </c>
    </row>
    <row r="64" spans="1:6">
      <c r="A64" s="1248" t="s">
        <v>55</v>
      </c>
      <c r="B64" s="1248" t="s">
        <v>56</v>
      </c>
      <c r="C64" s="1249">
        <v>0</v>
      </c>
      <c r="D64" s="1249">
        <v>0</v>
      </c>
      <c r="E64" s="1249">
        <v>0</v>
      </c>
      <c r="F64" s="1249">
        <v>0</v>
      </c>
    </row>
    <row r="65" spans="1:6">
      <c r="A65" s="1248" t="s">
        <v>55</v>
      </c>
      <c r="B65" s="1248" t="s">
        <v>28</v>
      </c>
      <c r="C65" s="1249">
        <v>6</v>
      </c>
      <c r="D65" s="1249">
        <v>149065.52945999999</v>
      </c>
      <c r="E65" s="1249">
        <v>0</v>
      </c>
      <c r="F65" s="1249">
        <v>11300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10</v>
      </c>
      <c r="F68" s="1251">
        <v>141188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112918648</v>
      </c>
      <c r="E73" s="439"/>
      <c r="F73" s="322"/>
    </row>
    <row r="74" spans="1:6">
      <c r="A74" s="1248" t="s">
        <v>63</v>
      </c>
      <c r="B74" s="1248" t="s">
        <v>626</v>
      </c>
      <c r="C74" s="1261" t="s">
        <v>628</v>
      </c>
      <c r="D74" s="1249">
        <v>7828846.1521502202</v>
      </c>
      <c r="E74" s="439"/>
      <c r="F74" s="322"/>
    </row>
    <row r="75" spans="1:6">
      <c r="A75" s="1248" t="s">
        <v>64</v>
      </c>
      <c r="B75" s="1248" t="s">
        <v>625</v>
      </c>
      <c r="C75" s="1261" t="s">
        <v>629</v>
      </c>
      <c r="D75" s="1249">
        <v>17964855</v>
      </c>
      <c r="E75" s="439"/>
      <c r="F75" s="322"/>
    </row>
    <row r="76" spans="1:6">
      <c r="A76" s="1248" t="s">
        <v>64</v>
      </c>
      <c r="B76" s="1248" t="s">
        <v>626</v>
      </c>
      <c r="C76" s="1261" t="s">
        <v>630</v>
      </c>
      <c r="D76" s="1249">
        <v>499161.15215022041</v>
      </c>
      <c r="E76" s="439"/>
      <c r="F76" s="322"/>
    </row>
    <row r="77" spans="1:6">
      <c r="A77" s="1248" t="s">
        <v>65</v>
      </c>
      <c r="B77" s="1248" t="s">
        <v>625</v>
      </c>
      <c r="C77" s="1261" t="s">
        <v>631</v>
      </c>
      <c r="D77" s="1249">
        <v>39241521</v>
      </c>
      <c r="E77" s="439"/>
      <c r="F77" s="322"/>
    </row>
    <row r="78" spans="1:6">
      <c r="A78" s="1243" t="s">
        <v>65</v>
      </c>
      <c r="B78" s="1243" t="s">
        <v>626</v>
      </c>
      <c r="C78" s="1243" t="s">
        <v>632</v>
      </c>
      <c r="D78" s="1251">
        <v>4792717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842377.69569955918</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16227.431914205365</v>
      </c>
      <c r="C90" s="322"/>
      <c r="D90" s="322"/>
      <c r="E90" s="322"/>
      <c r="F90" s="322"/>
    </row>
    <row r="91" spans="1:6">
      <c r="A91" s="1248" t="s">
        <v>67</v>
      </c>
      <c r="B91" s="1249">
        <v>4772.1194268987247</v>
      </c>
      <c r="C91" s="322"/>
      <c r="D91" s="322"/>
      <c r="E91" s="322"/>
      <c r="F91" s="322"/>
    </row>
    <row r="92" spans="1:6">
      <c r="A92" s="1243" t="s">
        <v>68</v>
      </c>
      <c r="B92" s="1244">
        <v>8713.5644947750916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2946</v>
      </c>
      <c r="C97" s="322"/>
      <c r="D97" s="322"/>
      <c r="E97" s="322"/>
      <c r="F97" s="322"/>
    </row>
    <row r="98" spans="1:6">
      <c r="A98" s="1248" t="s">
        <v>71</v>
      </c>
      <c r="B98" s="1249">
        <v>3</v>
      </c>
      <c r="C98" s="322"/>
      <c r="D98" s="322"/>
      <c r="E98" s="322"/>
      <c r="F98" s="322"/>
    </row>
    <row r="99" spans="1:6">
      <c r="A99" s="1248" t="s">
        <v>72</v>
      </c>
      <c r="B99" s="1249">
        <v>85</v>
      </c>
      <c r="C99" s="322"/>
      <c r="D99" s="322"/>
      <c r="E99" s="322"/>
      <c r="F99" s="322"/>
    </row>
    <row r="100" spans="1:6">
      <c r="A100" s="1248" t="s">
        <v>73</v>
      </c>
      <c r="B100" s="1249">
        <v>484</v>
      </c>
      <c r="C100" s="322"/>
      <c r="D100" s="322"/>
      <c r="E100" s="322"/>
      <c r="F100" s="322"/>
    </row>
    <row r="101" spans="1:6">
      <c r="A101" s="1248" t="s">
        <v>74</v>
      </c>
      <c r="B101" s="1249">
        <v>52</v>
      </c>
      <c r="C101" s="322"/>
      <c r="D101" s="322"/>
      <c r="E101" s="322"/>
      <c r="F101" s="322"/>
    </row>
    <row r="102" spans="1:6">
      <c r="A102" s="1248" t="s">
        <v>75</v>
      </c>
      <c r="B102" s="1249">
        <v>111</v>
      </c>
      <c r="C102" s="322"/>
      <c r="D102" s="322"/>
      <c r="E102" s="322"/>
      <c r="F102" s="322"/>
    </row>
    <row r="103" spans="1:6">
      <c r="A103" s="1248" t="s">
        <v>76</v>
      </c>
      <c r="B103" s="1249">
        <v>132</v>
      </c>
      <c r="C103" s="322"/>
      <c r="D103" s="322"/>
      <c r="E103" s="322"/>
      <c r="F103" s="322"/>
    </row>
    <row r="104" spans="1:6">
      <c r="A104" s="1248" t="s">
        <v>77</v>
      </c>
      <c r="B104" s="1249">
        <v>4977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25</v>
      </c>
      <c r="C123" s="1249">
        <v>16</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178</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30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115998.67589167027</v>
      </c>
      <c r="C3" s="43" t="s">
        <v>163</v>
      </c>
      <c r="D3" s="43"/>
      <c r="E3" s="153"/>
      <c r="F3" s="43"/>
      <c r="G3" s="43"/>
      <c r="H3" s="43"/>
      <c r="I3" s="43"/>
      <c r="J3" s="43"/>
      <c r="K3" s="96"/>
    </row>
    <row r="4" spans="1:11">
      <c r="A4" s="348" t="s">
        <v>164</v>
      </c>
      <c r="B4" s="49">
        <f>IF(ISERROR('SEAP template'!B78+'SEAP template'!C78),0,'SEAP template'!B78+'SEAP template'!C78)</f>
        <v>43912.86583587918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3374.5288235294115</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0.16642856220090307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4820.7554621848731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20285.357142857141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0.23764705882352938</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2014.837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2014.837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0.16642856220090307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335.32642497918096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35161.101000000002</v>
      </c>
      <c r="C5" s="17">
        <f>IF(ISERROR('Eigen informatie GS &amp; warmtenet'!B57),0,'Eigen informatie GS &amp; warmtenet'!B57)</f>
        <v>0</v>
      </c>
      <c r="D5" s="30">
        <f>(SUM(HH_hh_gas_kWh,HH_rest_gas_kWh)/1000)*0.902</f>
        <v>68592.481138522009</v>
      </c>
      <c r="E5" s="17">
        <f>B32*B41</f>
        <v>2563.960643170552</v>
      </c>
      <c r="F5" s="17">
        <f>B36*B45</f>
        <v>69709.014856817026</v>
      </c>
      <c r="G5" s="18"/>
      <c r="H5" s="17"/>
      <c r="I5" s="17"/>
      <c r="J5" s="17">
        <f>B35*B44+C35*C44</f>
        <v>1285.5587429547209</v>
      </c>
      <c r="K5" s="17"/>
      <c r="L5" s="17"/>
      <c r="M5" s="17"/>
      <c r="N5" s="17">
        <f>B34*B43+C34*C43</f>
        <v>13492.145194005656</v>
      </c>
      <c r="O5" s="17">
        <f>B52*B53*B54</f>
        <v>303.28666666666669</v>
      </c>
      <c r="P5" s="17">
        <f>B60*B61*B62/1000-B60*B61*B62/1000/B63</f>
        <v>1067.7333333333333</v>
      </c>
    </row>
    <row r="6" spans="1:16">
      <c r="A6" s="16" t="s">
        <v>586</v>
      </c>
      <c r="B6" s="716">
        <f>kWh_PV_kleiner_dan_10kW</f>
        <v>4772.1194268987247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39933.220426898726</v>
      </c>
      <c r="C8" s="21">
        <f>C5</f>
        <v>0</v>
      </c>
      <c r="D8" s="21">
        <f>D5</f>
        <v>68592.481138522009</v>
      </c>
      <c r="E8" s="21">
        <f>E5</f>
        <v>2563.960643170552</v>
      </c>
      <c r="F8" s="21">
        <f>F5</f>
        <v>69709.014856817026</v>
      </c>
      <c r="G8" s="21"/>
      <c r="H8" s="21"/>
      <c r="I8" s="21"/>
      <c r="J8" s="21">
        <f>J5</f>
        <v>1285.5587429547209</v>
      </c>
      <c r="K8" s="21"/>
      <c r="L8" s="21">
        <f>L5</f>
        <v>0</v>
      </c>
      <c r="M8" s="21">
        <f>M5</f>
        <v>0</v>
      </c>
      <c r="N8" s="21">
        <f>N5</f>
        <v>13492.145194005656</v>
      </c>
      <c r="O8" s="21">
        <f>O5</f>
        <v>303.28666666666669</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0.16642856220090307</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6646.0284597004875</v>
      </c>
      <c r="C12" s="23">
        <f ca="1">C10*C8</f>
        <v>0</v>
      </c>
      <c r="D12" s="23">
        <f>D8*D10</f>
        <v>13855.681189981447</v>
      </c>
      <c r="E12" s="23">
        <f>E10*E8</f>
        <v>582.01906599971528</v>
      </c>
      <c r="F12" s="23">
        <f>F10*F8</f>
        <v>18612.306966770146</v>
      </c>
      <c r="G12" s="23"/>
      <c r="H12" s="23"/>
      <c r="I12" s="23"/>
      <c r="J12" s="23">
        <f>J10*J8</f>
        <v>455.08779500597115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10023</v>
      </c>
      <c r="C26" s="36"/>
      <c r="D26" s="224"/>
    </row>
    <row r="27" spans="1:5" s="15" customFormat="1">
      <c r="A27" s="226" t="s">
        <v>655</v>
      </c>
      <c r="B27" s="37">
        <f>SUM(HH_hh_gas_aantal,HH_rest_gas_aantal)</f>
        <v>5367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5098.6499999999996</v>
      </c>
      <c r="C31" s="34" t="s">
        <v>104</v>
      </c>
      <c r="D31" s="170"/>
    </row>
    <row r="32" spans="1:5">
      <c r="A32" s="167" t="s">
        <v>72</v>
      </c>
      <c r="B32" s="33">
        <f>IF((B21*($B$26-($B$27-0.05*$B$27)-$B$60))&lt;0,0,B21*($B$26-($B$27-0.05*$B$27)-$B$60))</f>
        <v>31.417540513651794</v>
      </c>
      <c r="C32" s="34" t="s">
        <v>104</v>
      </c>
      <c r="D32" s="170"/>
    </row>
    <row r="33" spans="1:6">
      <c r="A33" s="167" t="s">
        <v>73</v>
      </c>
      <c r="B33" s="33">
        <f>IF((B22*($B$26-($B$27-0.05*$B$27)-$B$60))&lt;0,0,B22*($B$26-($B$27-0.05*$B$27)-$B$60))</f>
        <v>1094.0728916403575</v>
      </c>
      <c r="C33" s="34" t="s">
        <v>104</v>
      </c>
      <c r="D33" s="170"/>
    </row>
    <row r="34" spans="1:6">
      <c r="A34" s="167" t="s">
        <v>74</v>
      </c>
      <c r="B34" s="33">
        <f>IF((B24*($B$26-($B$27-0.05*$B$27)-$B$60))&lt;0,0,B24*($B$26-($B$27-0.05*$B$27)-$B$60))</f>
        <v>217.26045694378791</v>
      </c>
      <c r="C34" s="33">
        <f>B26*C24</f>
        <v>2051.3306378158231</v>
      </c>
      <c r="D34" s="229"/>
    </row>
    <row r="35" spans="1:6">
      <c r="A35" s="167" t="s">
        <v>76</v>
      </c>
      <c r="B35" s="33">
        <f>IF((B19*($B$26-($B$27-0.05*$B$27)-$B$60))&lt;0,0,B19*($B$26-($B$27-0.05*$B$27)-$B$60))</f>
        <v>106.0992255028266</v>
      </c>
      <c r="C35" s="33">
        <f>B35/2</f>
        <v>53.049612751413299</v>
      </c>
      <c r="D35" s="229"/>
    </row>
    <row r="36" spans="1:6">
      <c r="A36" s="167" t="s">
        <v>77</v>
      </c>
      <c r="B36" s="33">
        <f>IF((B18*($B$26-($B$27-0.05*$B$27)-$B$60))&lt;0,0,B18*($B$26-($B$27-0.05*$B$27)-$B$60))</f>
        <v>3419.4998853993779</v>
      </c>
      <c r="C36" s="34" t="s">
        <v>104</v>
      </c>
      <c r="D36" s="170"/>
    </row>
    <row r="37" spans="1:6">
      <c r="A37" s="167" t="s">
        <v>78</v>
      </c>
      <c r="B37" s="33">
        <f>B60</f>
        <v>56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194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46257.616999999998</v>
      </c>
      <c r="C5" s="17">
        <f>IF(ISERROR('Eigen informatie GS &amp; warmtenet'!B58),0,'Eigen informatie GS &amp; warmtenet'!B58)</f>
        <v>0</v>
      </c>
      <c r="D5" s="30">
        <f>SUM(D6:D12)</f>
        <v>50212.2445794046</v>
      </c>
      <c r="E5" s="17">
        <f>SUM(E6:E12)</f>
        <v>935.53326928308866</v>
      </c>
      <c r="F5" s="17">
        <f>SUM(F6:F12)</f>
        <v>8765.112745895327</v>
      </c>
      <c r="G5" s="18"/>
      <c r="H5" s="17"/>
      <c r="I5" s="17"/>
      <c r="J5" s="17">
        <f>SUM(J6:J12)</f>
        <v>3.6560908406116595E-2</v>
      </c>
      <c r="K5" s="17"/>
      <c r="L5" s="17"/>
      <c r="M5" s="17"/>
      <c r="N5" s="17">
        <f>SUM(N6:N12)</f>
        <v>1373.5062775930135</v>
      </c>
      <c r="O5" s="17">
        <f>B38*B39*B40</f>
        <v>3.1266666666666669</v>
      </c>
      <c r="P5" s="17">
        <f>B46*B47*B48/1000-B46*B47*B48/1000/B49</f>
        <v>19.066666666666666</v>
      </c>
      <c r="R5" s="32"/>
    </row>
    <row r="6" spans="1:18">
      <c r="A6" s="32" t="s">
        <v>53</v>
      </c>
      <c r="B6" s="37">
        <f>B26</f>
        <v>7577.3670000000002</v>
      </c>
      <c r="C6" s="33"/>
      <c r="D6" s="37">
        <f>IF(ISERROR(TER_kantoor_gas_kWh/1000),0,TER_kantoor_gas_kWh/1000)*0.902</f>
        <v>9616.976571707999</v>
      </c>
      <c r="E6" s="33">
        <f>$C$26*'E Balans VL '!I12/100/3.6*1000000</f>
        <v>4.3139207129216324E-18</v>
      </c>
      <c r="F6" s="33">
        <f>$C$26*('E Balans VL '!L12+'E Balans VL '!N12)/100/3.6*1000000</f>
        <v>1024.335164752503</v>
      </c>
      <c r="G6" s="34"/>
      <c r="H6" s="33"/>
      <c r="I6" s="33"/>
      <c r="J6" s="33">
        <f>$C$26*('E Balans VL '!D12+'E Balans VL '!E12)/100/3.6*1000000</f>
        <v>0</v>
      </c>
      <c r="K6" s="33"/>
      <c r="L6" s="33"/>
      <c r="M6" s="33"/>
      <c r="N6" s="33">
        <f>$C$26*'E Balans VL '!Y12/100/3.6*1000000</f>
        <v>9.5232106651616899</v>
      </c>
      <c r="O6" s="33"/>
      <c r="P6" s="33"/>
      <c r="R6" s="32"/>
    </row>
    <row r="7" spans="1:18">
      <c r="A7" s="32" t="s">
        <v>52</v>
      </c>
      <c r="B7" s="37">
        <f t="shared" ref="B7:B12" si="0">B27</f>
        <v>2963.5450000000001</v>
      </c>
      <c r="C7" s="33"/>
      <c r="D7" s="37">
        <f>IF(ISERROR(TER_horeca_gas_kWh/1000),0,TER_horeca_gas_kWh/1000)*0.902</f>
        <v>3478.6793729732003</v>
      </c>
      <c r="E7" s="33">
        <f>$C$27*'E Balans VL '!I9/100/3.6*1000000</f>
        <v>37.850499895971431</v>
      </c>
      <c r="F7" s="33">
        <f>$C$27*('E Balans VL '!L9+'E Balans VL '!N9)/100/3.6*1000000</f>
        <v>334.71909203687795</v>
      </c>
      <c r="G7" s="34"/>
      <c r="H7" s="33"/>
      <c r="I7" s="33"/>
      <c r="J7" s="33">
        <f>$C$27*('E Balans VL '!D9+'E Balans VL '!E9)/100/3.6*1000000</f>
        <v>0</v>
      </c>
      <c r="K7" s="33"/>
      <c r="L7" s="33"/>
      <c r="M7" s="33"/>
      <c r="N7" s="33">
        <f>$C$27*'E Balans VL '!Y9/100/3.6*1000000</f>
        <v>0.70622535304154399</v>
      </c>
      <c r="O7" s="33"/>
      <c r="P7" s="33"/>
      <c r="R7" s="32"/>
    </row>
    <row r="8" spans="1:18">
      <c r="A8" s="6" t="s">
        <v>51</v>
      </c>
      <c r="B8" s="37">
        <f t="shared" si="0"/>
        <v>25506.078000000001</v>
      </c>
      <c r="C8" s="33"/>
      <c r="D8" s="37">
        <f>IF(ISERROR(TER_handel_gas_kWh/1000),0,TER_handel_gas_kWh/1000)*0.902</f>
        <v>6410.9998242356005</v>
      </c>
      <c r="E8" s="33">
        <f>$C$28*'E Balans VL '!I13/100/3.6*1000000</f>
        <v>832.98710820940187</v>
      </c>
      <c r="F8" s="33">
        <f>$C$28*('E Balans VL '!L13+'E Balans VL '!N13)/100/3.6*1000000</f>
        <v>4416.1701647172404</v>
      </c>
      <c r="G8" s="34"/>
      <c r="H8" s="33"/>
      <c r="I8" s="33"/>
      <c r="J8" s="33">
        <f>$C$28*('E Balans VL '!D13+'E Balans VL '!E13)/100/3.6*1000000</f>
        <v>0</v>
      </c>
      <c r="K8" s="33"/>
      <c r="L8" s="33"/>
      <c r="M8" s="33"/>
      <c r="N8" s="33">
        <f>$C$28*'E Balans VL '!Y13/100/3.6*1000000</f>
        <v>30.019946272119746</v>
      </c>
      <c r="O8" s="33"/>
      <c r="P8" s="33"/>
      <c r="R8" s="32"/>
    </row>
    <row r="9" spans="1:18">
      <c r="A9" s="32" t="s">
        <v>50</v>
      </c>
      <c r="B9" s="37">
        <f t="shared" si="0"/>
        <v>5303.4260000000004</v>
      </c>
      <c r="C9" s="33"/>
      <c r="D9" s="37">
        <f>IF(ISERROR(TER_gezond_gas_kWh/1000),0,TER_gezond_gas_kWh/1000)*0.902</f>
        <v>6505.9905656922001</v>
      </c>
      <c r="E9" s="33">
        <f>$C$29*'E Balans VL '!I10/100/3.6*1000000</f>
        <v>0.29615663367887179</v>
      </c>
      <c r="F9" s="33">
        <f>$C$29*('E Balans VL '!L10+'E Balans VL '!N10)/100/3.6*1000000</f>
        <v>702.68421550832227</v>
      </c>
      <c r="G9" s="34"/>
      <c r="H9" s="33"/>
      <c r="I9" s="33"/>
      <c r="J9" s="33">
        <f>$C$29*('E Balans VL '!D10+'E Balans VL '!E10)/100/3.6*1000000</f>
        <v>0</v>
      </c>
      <c r="K9" s="33"/>
      <c r="L9" s="33"/>
      <c r="M9" s="33"/>
      <c r="N9" s="33">
        <f>$C$29*'E Balans VL '!Y10/100/3.6*1000000</f>
        <v>56.212751001442982</v>
      </c>
      <c r="O9" s="33"/>
      <c r="P9" s="33"/>
      <c r="R9" s="32"/>
    </row>
    <row r="10" spans="1:18">
      <c r="A10" s="32" t="s">
        <v>49</v>
      </c>
      <c r="B10" s="37">
        <f t="shared" si="0"/>
        <v>3014.9639999999999</v>
      </c>
      <c r="C10" s="33"/>
      <c r="D10" s="37">
        <f>IF(ISERROR(TER_ander_gas_kWh/1000),0,TER_ander_gas_kWh/1000)*0.902</f>
        <v>2162.5556219520004</v>
      </c>
      <c r="E10" s="33">
        <f>$C$30*'E Balans VL '!I14/100/3.6*1000000</f>
        <v>38.933512082316589</v>
      </c>
      <c r="F10" s="33">
        <f>$C$30*('E Balans VL '!L14+'E Balans VL '!N14)/100/3.6*1000000</f>
        <v>1990.091288703331</v>
      </c>
      <c r="G10" s="34"/>
      <c r="H10" s="33"/>
      <c r="I10" s="33"/>
      <c r="J10" s="33">
        <f>$C$30*('E Balans VL '!D14+'E Balans VL '!E14)/100/3.6*1000000</f>
        <v>3.6523920154124805E-2</v>
      </c>
      <c r="K10" s="33"/>
      <c r="L10" s="33"/>
      <c r="M10" s="33"/>
      <c r="N10" s="33">
        <f>$C$30*'E Balans VL '!Y14/100/3.6*1000000</f>
        <v>1271.398043167613</v>
      </c>
      <c r="O10" s="33"/>
      <c r="P10" s="33"/>
      <c r="R10" s="32"/>
    </row>
    <row r="11" spans="1:18">
      <c r="A11" s="32" t="s">
        <v>54</v>
      </c>
      <c r="B11" s="37">
        <f t="shared" si="0"/>
        <v>1875.3420000000001</v>
      </c>
      <c r="C11" s="33"/>
      <c r="D11" s="37">
        <f>IF(ISERROR(TER_onderwijs_gas_kWh/1000),0,TER_onderwijs_gas_kWh/1000)*0.902</f>
        <v>2873.8127413555999</v>
      </c>
      <c r="E11" s="33">
        <f>$C$31*'E Balans VL '!I11/100/3.6*1000000</f>
        <v>25.237451048819228</v>
      </c>
      <c r="F11" s="33">
        <f>$C$31*('E Balans VL '!L11+'E Balans VL '!N11)/100/3.6*1000000</f>
        <v>293.07333621750706</v>
      </c>
      <c r="G11" s="34"/>
      <c r="H11" s="33"/>
      <c r="I11" s="33"/>
      <c r="J11" s="33">
        <f>$C$31*('E Balans VL '!D11+'E Balans VL '!E11)/100/3.6*1000000</f>
        <v>0</v>
      </c>
      <c r="K11" s="33"/>
      <c r="L11" s="33"/>
      <c r="M11" s="33"/>
      <c r="N11" s="33">
        <f>$C$31*'E Balans VL '!Y11/100/3.6*1000000</f>
        <v>4.3302535417291734</v>
      </c>
      <c r="O11" s="33"/>
      <c r="P11" s="33"/>
      <c r="R11" s="32"/>
    </row>
    <row r="12" spans="1:18">
      <c r="A12" s="32" t="s">
        <v>249</v>
      </c>
      <c r="B12" s="37">
        <f t="shared" si="0"/>
        <v>16.895</v>
      </c>
      <c r="C12" s="33"/>
      <c r="D12" s="37">
        <f>IF(ISERROR(TER_rest_gas_kWh/1000),0,TER_rest_gas_kWh/1000)*0.902</f>
        <v>19163.229881487998</v>
      </c>
      <c r="E12" s="33">
        <f>$C$32*'E Balans VL '!I8/100/3.6*1000000</f>
        <v>0.22854141290069349</v>
      </c>
      <c r="F12" s="33">
        <f>$C$32*('E Balans VL '!L8+'E Balans VL '!N8)/100/3.6*1000000</f>
        <v>4.0394839595438077</v>
      </c>
      <c r="G12" s="34"/>
      <c r="H12" s="33"/>
      <c r="I12" s="33"/>
      <c r="J12" s="33">
        <f>$C$32*('E Balans VL '!D8+'E Balans VL '!E8)/100/3.6*1000000</f>
        <v>3.6988251991787014E-5</v>
      </c>
      <c r="K12" s="33"/>
      <c r="L12" s="33"/>
      <c r="M12" s="33"/>
      <c r="N12" s="33">
        <f>$C$32*'E Balans VL '!Y8/100/3.6*1000000</f>
        <v>1.3158475919053483</v>
      </c>
      <c r="O12" s="33"/>
      <c r="P12" s="33"/>
      <c r="R12" s="32"/>
    </row>
    <row r="13" spans="1:18">
      <c r="A13" s="16" t="s">
        <v>477</v>
      </c>
      <c r="B13" s="242">
        <f ca="1">'lokale energieproductie'!N39+'lokale energieproductie'!N32</f>
        <v>24.75</v>
      </c>
      <c r="C13" s="242">
        <f ca="1">'lokale energieproductie'!O39+'lokale energieproductie'!O32</f>
        <v>35.357142857142861</v>
      </c>
      <c r="D13" s="300">
        <f ca="1">('lokale energieproductie'!P32+'lokale energieproductie'!P39)*(-1)</f>
        <v>-70.714285714285722</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46282.366999999998</v>
      </c>
      <c r="C16" s="21">
        <f t="shared" ca="1" si="1"/>
        <v>35.357142857142861</v>
      </c>
      <c r="D16" s="21">
        <f t="shared" ca="1" si="1"/>
        <v>50141.530293690317</v>
      </c>
      <c r="E16" s="21">
        <f t="shared" si="1"/>
        <v>935.53326928308866</v>
      </c>
      <c r="F16" s="21">
        <f t="shared" ca="1" si="1"/>
        <v>8765.112745895327</v>
      </c>
      <c r="G16" s="21">
        <f t="shared" si="1"/>
        <v>0</v>
      </c>
      <c r="H16" s="21">
        <f t="shared" si="1"/>
        <v>0</v>
      </c>
      <c r="I16" s="21">
        <f t="shared" si="1"/>
        <v>0</v>
      </c>
      <c r="J16" s="21">
        <f t="shared" si="1"/>
        <v>3.6560908406116595E-2</v>
      </c>
      <c r="K16" s="21">
        <f t="shared" si="1"/>
        <v>0</v>
      </c>
      <c r="L16" s="21">
        <f t="shared" ca="1" si="1"/>
        <v>0</v>
      </c>
      <c r="M16" s="21">
        <f t="shared" si="1"/>
        <v>0</v>
      </c>
      <c r="N16" s="21">
        <f t="shared" ca="1" si="1"/>
        <v>1373.5062775930135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0.16642856220090307</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7702.7077950645235</v>
      </c>
      <c r="C20" s="23">
        <f t="shared" ref="C20:P20" ca="1" si="2">C16*C18</f>
        <v>8.4025210084033617</v>
      </c>
      <c r="D20" s="23">
        <f t="shared" ca="1" si="2"/>
        <v>10128.589119325445</v>
      </c>
      <c r="E20" s="23">
        <f t="shared" si="2"/>
        <v>212.36605212726113</v>
      </c>
      <c r="F20" s="23">
        <f t="shared" ca="1" si="2"/>
        <v>2340.2851031540526</v>
      </c>
      <c r="G20" s="23">
        <f t="shared" si="2"/>
        <v>0</v>
      </c>
      <c r="H20" s="23">
        <f t="shared" si="2"/>
        <v>0</v>
      </c>
      <c r="I20" s="23">
        <f t="shared" si="2"/>
        <v>0</v>
      </c>
      <c r="J20" s="23">
        <f t="shared" si="2"/>
        <v>1.2942561575765274E-2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7577.3670000000002</v>
      </c>
      <c r="C26" s="39">
        <f>IF(ISERROR(B26*3.6/1000000/'E Balans VL '!Z12*100),0,B26*3.6/1000000/'E Balans VL '!Z12*100)</f>
        <v>0.20330993542435286</v>
      </c>
      <c r="D26" s="232" t="s">
        <v>621</v>
      </c>
      <c r="F26" s="6"/>
    </row>
    <row r="27" spans="1:18">
      <c r="A27" s="227" t="s">
        <v>52</v>
      </c>
      <c r="B27" s="33">
        <f>IF(ISERROR(TER_horeca_ele_kWh/1000),0,TER_horeca_ele_kWh/1000)</f>
        <v>2963.5450000000001</v>
      </c>
      <c r="C27" s="39">
        <f>IF(ISERROR(B27*3.6/1000000/'E Balans VL '!Z9*100),0,B27*3.6/1000000/'E Balans VL '!Z9*100)</f>
        <v>0.23543294933818093</v>
      </c>
      <c r="D27" s="232" t="s">
        <v>621</v>
      </c>
      <c r="F27" s="6"/>
    </row>
    <row r="28" spans="1:18">
      <c r="A28" s="167" t="s">
        <v>51</v>
      </c>
      <c r="B28" s="33">
        <f>IF(ISERROR(TER_handel_ele_kWh/1000),0,TER_handel_ele_kWh/1000)</f>
        <v>25506.078000000001</v>
      </c>
      <c r="C28" s="39">
        <f>IF(ISERROR(B28*3.6/1000000/'E Balans VL '!Z13*100),0,B28*3.6/1000000/'E Balans VL '!Z13*100)</f>
        <v>0.7460497651789878</v>
      </c>
      <c r="D28" s="232" t="s">
        <v>621</v>
      </c>
      <c r="F28" s="6"/>
    </row>
    <row r="29" spans="1:18">
      <c r="A29" s="227" t="s">
        <v>50</v>
      </c>
      <c r="B29" s="33">
        <f>IF(ISERROR(TER_gezond_ele_kWh/1000),0,TER_gezond_ele_kWh/1000)</f>
        <v>5303.4260000000004</v>
      </c>
      <c r="C29" s="39">
        <f>IF(ISERROR(B29*3.6/1000000/'E Balans VL '!Z10*100),0,B29*3.6/1000000/'E Balans VL '!Z10*100)</f>
        <v>0.56288392594264325</v>
      </c>
      <c r="D29" s="232" t="s">
        <v>621</v>
      </c>
      <c r="F29" s="6"/>
    </row>
    <row r="30" spans="1:18">
      <c r="A30" s="227" t="s">
        <v>49</v>
      </c>
      <c r="B30" s="33">
        <f>IF(ISERROR(TER_ander_ele_kWh/1000),0,TER_ander_ele_kWh/1000)</f>
        <v>3014.9639999999999</v>
      </c>
      <c r="C30" s="39">
        <f>IF(ISERROR(B30*3.6/1000000/'E Balans VL '!Z14*100),0,B30*3.6/1000000/'E Balans VL '!Z14*100)</f>
        <v>0.14023689478972834</v>
      </c>
      <c r="D30" s="232" t="s">
        <v>621</v>
      </c>
      <c r="F30" s="6"/>
    </row>
    <row r="31" spans="1:18">
      <c r="A31" s="227" t="s">
        <v>54</v>
      </c>
      <c r="B31" s="33">
        <f>IF(ISERROR(TER_onderwijs_ele_kWh/1000),0,TER_onderwijs_ele_kWh/1000)</f>
        <v>1875.3420000000001</v>
      </c>
      <c r="C31" s="39">
        <f>IF(ISERROR(B31*3.6/1000000/'E Balans VL '!Z11*100),0,B31*3.6/1000000/'E Balans VL '!Z11*100)</f>
        <v>0.46935923480452707</v>
      </c>
      <c r="D31" s="232" t="s">
        <v>621</v>
      </c>
    </row>
    <row r="32" spans="1:18">
      <c r="A32" s="227" t="s">
        <v>249</v>
      </c>
      <c r="B32" s="33">
        <f>IF(ISERROR(TER_rest_ele_kWh/1000),0,TER_rest_ele_kWh/1000)</f>
        <v>16.895</v>
      </c>
      <c r="C32" s="39">
        <f>IF(ISERROR(B32*3.6/1000000/'E Balans VL '!Z8*100),0,B32*3.6/1000000/'E Balans VL '!Z8*100)</f>
        <v>1.4201973887631531E-4</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25242.615000000002</v>
      </c>
      <c r="C5" s="17">
        <f>IF(ISERROR('Eigen informatie GS &amp; warmtenet'!B59),0,'Eigen informatie GS &amp; warmtenet'!B59)</f>
        <v>0</v>
      </c>
      <c r="D5" s="30">
        <f>SUM(D6:D15)</f>
        <v>13623.91239039028</v>
      </c>
      <c r="E5" s="17">
        <f>SUM(E6:E15)</f>
        <v>4290.366212672473</v>
      </c>
      <c r="F5" s="17">
        <f>SUM(F6:F15)</f>
        <v>16350.018150961732</v>
      </c>
      <c r="G5" s="18"/>
      <c r="H5" s="17"/>
      <c r="I5" s="17"/>
      <c r="J5" s="17">
        <f>SUM(J6:J15)</f>
        <v>84.112888959656104</v>
      </c>
      <c r="K5" s="17"/>
      <c r="L5" s="17"/>
      <c r="M5" s="17"/>
      <c r="N5" s="17">
        <f>SUM(N6:N15)</f>
        <v>2933.1334580660427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4334.2030000000004</v>
      </c>
      <c r="C8" s="33"/>
      <c r="D8" s="37">
        <f>IF( ISERROR(IND_metaal_Gas_kWH/1000),0,IND_metaal_Gas_kWH/1000)*0.902</f>
        <v>0</v>
      </c>
      <c r="E8" s="33">
        <f>C30*'E Balans VL '!I18/100/3.6*1000000</f>
        <v>155.95773579290142</v>
      </c>
      <c r="F8" s="33">
        <f>C30*'E Balans VL '!L18/100/3.6*1000000+C30*'E Balans VL '!N18/100/3.6*1000000</f>
        <v>1892.6059503550896</v>
      </c>
      <c r="G8" s="34"/>
      <c r="H8" s="33"/>
      <c r="I8" s="33"/>
      <c r="J8" s="40">
        <f>C30*'E Balans VL '!D18/100/3.6*1000000+C30*'E Balans VL '!E18/100/3.6*1000000</f>
        <v>0</v>
      </c>
      <c r="K8" s="33"/>
      <c r="L8" s="33"/>
      <c r="M8" s="33"/>
      <c r="N8" s="33">
        <f>C30*'E Balans VL '!Y18/100/3.6*1000000</f>
        <v>217.22730895696782</v>
      </c>
      <c r="O8" s="33"/>
      <c r="P8" s="33"/>
      <c r="R8" s="32"/>
    </row>
    <row r="9" spans="1:18">
      <c r="A9" s="6" t="s">
        <v>32</v>
      </c>
      <c r="B9" s="37">
        <f t="shared" si="0"/>
        <v>15822.065000000001</v>
      </c>
      <c r="C9" s="33"/>
      <c r="D9" s="37">
        <f>IF( ISERROR(IND_andere_gas_kWh/1000),0,IND_andere_gas_kWh/1000)*0.902</f>
        <v>3194.7947059688004</v>
      </c>
      <c r="E9" s="33">
        <f>C31*'E Balans VL '!I19/100/3.6*1000000</f>
        <v>4037.4330037526083</v>
      </c>
      <c r="F9" s="33">
        <f>C31*'E Balans VL '!L19/100/3.6*1000000+C31*'E Balans VL '!N19/100/3.6*1000000</f>
        <v>13621.608732361206</v>
      </c>
      <c r="G9" s="34"/>
      <c r="H9" s="33"/>
      <c r="I9" s="33"/>
      <c r="J9" s="40">
        <f>C31*'E Balans VL '!D19/100/3.6*1000000+C31*'E Balans VL '!E19/100/3.6*1000000</f>
        <v>0</v>
      </c>
      <c r="K9" s="33"/>
      <c r="L9" s="33"/>
      <c r="M9" s="33"/>
      <c r="N9" s="33">
        <f>C31*'E Balans VL '!Y19/100/3.6*1000000</f>
        <v>1248.1757831840873</v>
      </c>
      <c r="O9" s="33"/>
      <c r="P9" s="33"/>
      <c r="R9" s="32"/>
    </row>
    <row r="10" spans="1:18">
      <c r="A10" s="6" t="s">
        <v>40</v>
      </c>
      <c r="B10" s="37">
        <f t="shared" si="0"/>
        <v>3101.7469999999998</v>
      </c>
      <c r="C10" s="33"/>
      <c r="D10" s="37">
        <f>IF( ISERROR(IND_voed_gas_kWh/1000),0,IND_voed_gas_kWh/1000)*0.902</f>
        <v>388.69747913722</v>
      </c>
      <c r="E10" s="33">
        <f>C32*'E Balans VL '!I20/100/3.6*1000000</f>
        <v>78.850667787652739</v>
      </c>
      <c r="F10" s="33">
        <f>C32*'E Balans VL '!L20/100/3.6*1000000+C32*'E Balans VL '!N20/100/3.6*1000000</f>
        <v>701.87878486208615</v>
      </c>
      <c r="G10" s="34"/>
      <c r="H10" s="33"/>
      <c r="I10" s="33"/>
      <c r="J10" s="40">
        <f>C32*'E Balans VL '!D20/100/3.6*1000000+C32*'E Balans VL '!E20/100/3.6*1000000</f>
        <v>0</v>
      </c>
      <c r="K10" s="33"/>
      <c r="L10" s="33"/>
      <c r="M10" s="33"/>
      <c r="N10" s="33">
        <f>C32*'E Balans VL '!Y20/100/3.6*1000000</f>
        <v>1163.2392011594577</v>
      </c>
      <c r="O10" s="33"/>
      <c r="P10" s="33"/>
      <c r="R10" s="32"/>
    </row>
    <row r="11" spans="1:18">
      <c r="A11" s="6" t="s">
        <v>39</v>
      </c>
      <c r="B11" s="37">
        <f t="shared" si="0"/>
        <v>144.024</v>
      </c>
      <c r="C11" s="33"/>
      <c r="D11" s="37">
        <f>IF( ISERROR(IND_textiel_gas_kWh/1000),0,IND_textiel_gas_kWh/1000)*0.902</f>
        <v>0</v>
      </c>
      <c r="E11" s="33">
        <f>C33*'E Balans VL '!I21/100/3.6*1000000</f>
        <v>0.39538461134457514</v>
      </c>
      <c r="F11" s="33">
        <f>C33*'E Balans VL '!L21/100/3.6*1000000+C33*'E Balans VL '!N21/100/3.6*1000000</f>
        <v>7.6355522546505945</v>
      </c>
      <c r="G11" s="34"/>
      <c r="H11" s="33"/>
      <c r="I11" s="33"/>
      <c r="J11" s="40">
        <f>C33*'E Balans VL '!D21/100/3.6*1000000+C33*'E Balans VL '!E21/100/3.6*1000000</f>
        <v>0</v>
      </c>
      <c r="K11" s="33"/>
      <c r="L11" s="33"/>
      <c r="M11" s="33"/>
      <c r="N11" s="33">
        <f>C33*'E Balans VL '!Y21/100/3.6*1000000</f>
        <v>0.28946440653311645</v>
      </c>
      <c r="O11" s="33"/>
      <c r="P11" s="33"/>
      <c r="R11" s="32"/>
    </row>
    <row r="12" spans="1:18">
      <c r="A12" s="6" t="s">
        <v>36</v>
      </c>
      <c r="B12" s="37">
        <f t="shared" si="0"/>
        <v>581.40899999999999</v>
      </c>
      <c r="C12" s="33"/>
      <c r="D12" s="37">
        <f>IF( ISERROR(IND_min_gas_kWh/1000),0,IND_min_gas_kWh/1000)*0.902</f>
        <v>0</v>
      </c>
      <c r="E12" s="33">
        <f>C34*'E Balans VL '!I22/100/3.6*1000000</f>
        <v>12.353484109848214</v>
      </c>
      <c r="F12" s="33">
        <f>C34*'E Balans VL '!L22/100/3.6*1000000+C34*'E Balans VL '!N22/100/3.6*1000000</f>
        <v>94.861833174833976</v>
      </c>
      <c r="G12" s="34"/>
      <c r="H12" s="33"/>
      <c r="I12" s="33"/>
      <c r="J12" s="40">
        <f>C34*'E Balans VL '!D22/100/3.6*1000000+C34*'E Balans VL '!E22/100/3.6*1000000</f>
        <v>0.67739574238553268</v>
      </c>
      <c r="K12" s="33"/>
      <c r="L12" s="33"/>
      <c r="M12" s="33"/>
      <c r="N12" s="33">
        <f>C34*'E Balans VL '!Y22/100/3.6*1000000</f>
        <v>0</v>
      </c>
      <c r="O12" s="33"/>
      <c r="P12" s="33"/>
      <c r="R12" s="32"/>
    </row>
    <row r="13" spans="1:18">
      <c r="A13" s="6" t="s">
        <v>38</v>
      </c>
      <c r="B13" s="37">
        <f t="shared" si="0"/>
        <v>1246.338</v>
      </c>
      <c r="C13" s="33"/>
      <c r="D13" s="37">
        <f>IF( ISERROR(IND_papier_gas_kWh/1000),0,IND_papier_gas_kWh/1000)*0.902</f>
        <v>610.56400712625998</v>
      </c>
      <c r="E13" s="33">
        <f>C35*'E Balans VL '!I23/100/3.6*1000000</f>
        <v>5.345181100111458</v>
      </c>
      <c r="F13" s="33">
        <f>C35*'E Balans VL '!L23/100/3.6*1000000+C35*'E Balans VL '!N23/100/3.6*1000000</f>
        <v>31.324342326890317</v>
      </c>
      <c r="G13" s="34"/>
      <c r="H13" s="33"/>
      <c r="I13" s="33"/>
      <c r="J13" s="40">
        <f>C35*'E Balans VL '!D23/100/3.6*1000000+C35*'E Balans VL '!E23/100/3.6*1000000</f>
        <v>83.435493217270576</v>
      </c>
      <c r="K13" s="33"/>
      <c r="L13" s="33"/>
      <c r="M13" s="33"/>
      <c r="N13" s="33">
        <f>C35*'E Balans VL '!Y23/100/3.6*1000000</f>
        <v>303.93653487481754</v>
      </c>
      <c r="O13" s="33"/>
      <c r="P13" s="33"/>
      <c r="R13" s="32"/>
    </row>
    <row r="14" spans="1:18">
      <c r="A14" s="6" t="s">
        <v>33</v>
      </c>
      <c r="B14" s="37">
        <f t="shared" si="0"/>
        <v>12.829000000000001</v>
      </c>
      <c r="C14" s="33"/>
      <c r="D14" s="37">
        <f>IF( ISERROR(IND_chemie_gas_kWh/1000),0,IND_chemie_gas_kWh/1000)*0.902</f>
        <v>0</v>
      </c>
      <c r="E14" s="33">
        <f>C36*'E Balans VL '!I24/100/3.6*1000000</f>
        <v>3.075551800622053E-2</v>
      </c>
      <c r="F14" s="33">
        <f>C36*'E Balans VL '!L24/100/3.6*1000000+C36*'E Balans VL '!N24/100/3.6*1000000</f>
        <v>0.10295562697405398</v>
      </c>
      <c r="G14" s="34"/>
      <c r="H14" s="33"/>
      <c r="I14" s="33"/>
      <c r="J14" s="40">
        <f>C36*'E Balans VL '!D24/100/3.6*1000000+C36*'E Balans VL '!E24/100/3.6*1000000</f>
        <v>0</v>
      </c>
      <c r="K14" s="33"/>
      <c r="L14" s="33"/>
      <c r="M14" s="33"/>
      <c r="N14" s="33">
        <f>C36*'E Balans VL '!Y24/100/3.6*1000000</f>
        <v>0.26516548417948338</v>
      </c>
      <c r="O14" s="33"/>
      <c r="P14" s="33"/>
      <c r="R14" s="32"/>
    </row>
    <row r="15" spans="1:18">
      <c r="A15" s="6" t="s">
        <v>259</v>
      </c>
      <c r="B15" s="37">
        <f t="shared" si="0"/>
        <v>0</v>
      </c>
      <c r="C15" s="33"/>
      <c r="D15" s="37">
        <f>IF( ISERROR(IND_rest_gas_kWh/1000),0,IND_rest_gas_kWh/1000)*0.902</f>
        <v>9429.8561981579987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477</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25242.615000000002</v>
      </c>
      <c r="C18" s="21">
        <f>C5+C16</f>
        <v>0</v>
      </c>
      <c r="D18" s="21">
        <f>MAX((D5+D16),0)</f>
        <v>13623.91239039028</v>
      </c>
      <c r="E18" s="21">
        <f>MAX((E5+E16),0)</f>
        <v>4290.366212672473</v>
      </c>
      <c r="F18" s="21">
        <f>MAX((F5+F16),0)</f>
        <v>16350.018150961732</v>
      </c>
      <c r="G18" s="21"/>
      <c r="H18" s="21"/>
      <c r="I18" s="21"/>
      <c r="J18" s="21">
        <f>MAX((J5+J16),0)</f>
        <v>84.112888959656104</v>
      </c>
      <c r="K18" s="21"/>
      <c r="L18" s="21">
        <f>MAX((L5+L16),0)</f>
        <v>0</v>
      </c>
      <c r="M18" s="21"/>
      <c r="N18" s="21">
        <f>MAX((N5+N16),0)</f>
        <v>2933.1334580660427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0.16642856220090307</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4201.0921206409494</v>
      </c>
      <c r="C22" s="23">
        <f ca="1">C18*C20</f>
        <v>0</v>
      </c>
      <c r="D22" s="23">
        <f>D18*D20</f>
        <v>2752.0303028588369</v>
      </c>
      <c r="E22" s="23">
        <f>E18*E20</f>
        <v>973.91313027665137</v>
      </c>
      <c r="F22" s="23">
        <f>F18*F20</f>
        <v>4365.4548463067831</v>
      </c>
      <c r="G22" s="23"/>
      <c r="H22" s="23"/>
      <c r="I22" s="23"/>
      <c r="J22" s="23">
        <f>J18*J20</f>
        <v>29.775962691718259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4334.2030000000004</v>
      </c>
      <c r="C30" s="39">
        <f>IF(ISERROR(B30*3.6/1000000/'E Balans VL '!Z18*100),0,B30*3.6/1000000/'E Balans VL '!Z18*100)</f>
        <v>0.91832469283671259</v>
      </c>
      <c r="D30" s="232" t="s">
        <v>621</v>
      </c>
    </row>
    <row r="31" spans="1:18">
      <c r="A31" s="6" t="s">
        <v>32</v>
      </c>
      <c r="B31" s="37">
        <f>IF( ISERROR(IND_ander_ele_kWh/1000),0,IND_ander_ele_kWh/1000)</f>
        <v>15822.065000000001</v>
      </c>
      <c r="C31" s="39">
        <f>IF(ISERROR(B31*3.6/1000000/'E Balans VL '!Z19*100),0,B31*3.6/1000000/'E Balans VL '!Z19*100)</f>
        <v>0.66598664246137818</v>
      </c>
      <c r="D31" s="232" t="s">
        <v>621</v>
      </c>
    </row>
    <row r="32" spans="1:18">
      <c r="A32" s="167" t="s">
        <v>40</v>
      </c>
      <c r="B32" s="37">
        <f>IF( ISERROR(IND_voed_ele_kWh/1000),0,IND_voed_ele_kWh/1000)</f>
        <v>3101.7469999999998</v>
      </c>
      <c r="C32" s="39">
        <f>IF(ISERROR(B32*3.6/1000000/'E Balans VL '!Z20*100),0,B32*3.6/1000000/'E Balans VL '!Z20*100)</f>
        <v>0.51818193020366643</v>
      </c>
      <c r="D32" s="232" t="s">
        <v>621</v>
      </c>
    </row>
    <row r="33" spans="1:5">
      <c r="A33" s="167" t="s">
        <v>39</v>
      </c>
      <c r="B33" s="37">
        <f>IF( ISERROR(IND_textiel_ele_kWh/1000),0,IND_textiel_ele_kWh/1000)</f>
        <v>144.024</v>
      </c>
      <c r="C33" s="39">
        <f>IF(ISERROR(B33*3.6/1000000/'E Balans VL '!Z21*100),0,B33*3.6/1000000/'E Balans VL '!Z21*100)</f>
        <v>8.4085521142517484E-3</v>
      </c>
      <c r="D33" s="232" t="s">
        <v>621</v>
      </c>
    </row>
    <row r="34" spans="1:5">
      <c r="A34" s="167" t="s">
        <v>36</v>
      </c>
      <c r="B34" s="37">
        <f>IF( ISERROR(IND_min_ele_kWh/1000),0,IND_min_ele_kWh/1000)</f>
        <v>581.40899999999999</v>
      </c>
      <c r="C34" s="39">
        <f>IF(ISERROR(B34*3.6/1000000/'E Balans VL '!Z22*100),0,B34*3.6/1000000/'E Balans VL '!Z22*100)</f>
        <v>7.3696726279476335E-2</v>
      </c>
      <c r="D34" s="232" t="s">
        <v>621</v>
      </c>
    </row>
    <row r="35" spans="1:5">
      <c r="A35" s="167" t="s">
        <v>38</v>
      </c>
      <c r="B35" s="37">
        <f>IF( ISERROR(IND_papier_ele_kWh/1000),0,IND_papier_ele_kWh/1000)</f>
        <v>1246.338</v>
      </c>
      <c r="C35" s="39">
        <f>IF(ISERROR(B35*3.6/1000000/'E Balans VL '!Z22*100),0,B35*3.6/1000000/'E Balans VL '!Z22*100)</f>
        <v>0.15798006298098233</v>
      </c>
      <c r="D35" s="232" t="s">
        <v>621</v>
      </c>
    </row>
    <row r="36" spans="1:5">
      <c r="A36" s="167" t="s">
        <v>33</v>
      </c>
      <c r="B36" s="37">
        <f>IF( ISERROR(IND_chemie_ele_kWh/1000),0,IND_chemie_ele_kWh/1000)</f>
        <v>12.829000000000001</v>
      </c>
      <c r="C36" s="39">
        <f>IF(ISERROR(B36*3.6/1000000/'E Balans VL '!Z24*100),0,B36*3.6/1000000/'E Balans VL '!Z24*100)</f>
        <v>4.1668633370597598E-4</v>
      </c>
      <c r="D36" s="232" t="s">
        <v>621</v>
      </c>
    </row>
    <row r="37" spans="1:5">
      <c r="A37" s="167" t="s">
        <v>259</v>
      </c>
      <c r="B37" s="37">
        <f>IF( ISERROR(IND_rest_ele_kWh/1000),0,IND_rest_ele_kWh/1000)</f>
        <v>0</v>
      </c>
      <c r="C37" s="39">
        <f>IF(ISERROR(B37*3.6/1000000/'E Balans VL '!Z15*100),0,B37*3.6/1000000/'E Balans VL '!Z15*100)</f>
        <v>0</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1224.079</v>
      </c>
      <c r="C5" s="17">
        <f>'Eigen informatie GS &amp; warmtenet'!B60</f>
        <v>0</v>
      </c>
      <c r="D5" s="30">
        <f>IF(ISERROR(SUM(LB_lb_gas_kWh,LB_rest_gas_kWh)/1000),0,SUM(LB_lb_gas_kWh,LB_rest_gas_kWh)/1000)*0.902</f>
        <v>26693.025706079676</v>
      </c>
      <c r="E5" s="17">
        <f>B17*'E Balans VL '!I25/3.6*1000000/100</f>
        <v>24.250057706928629</v>
      </c>
      <c r="F5" s="17">
        <f>B17*('E Balans VL '!L25/3.6*1000000+'E Balans VL '!N25/3.6*1000000)/100</f>
        <v>4463.8708716507099</v>
      </c>
      <c r="G5" s="18"/>
      <c r="H5" s="17"/>
      <c r="I5" s="17"/>
      <c r="J5" s="17">
        <f>('E Balans VL '!D25+'E Balans VL '!E25)/3.6*1000000*landbouw!B17/100</f>
        <v>290.64567162742924</v>
      </c>
      <c r="K5" s="17"/>
      <c r="L5" s="17">
        <f>L6*(-1)</f>
        <v>0</v>
      </c>
      <c r="M5" s="17"/>
      <c r="N5" s="17">
        <f>N6*(-1)</f>
        <v>0</v>
      </c>
      <c r="O5" s="17"/>
      <c r="P5" s="17"/>
      <c r="R5" s="32"/>
    </row>
    <row r="6" spans="1:18">
      <c r="A6" s="16" t="s">
        <v>477</v>
      </c>
      <c r="B6" s="17" t="s">
        <v>204</v>
      </c>
      <c r="C6" s="17">
        <f>'lokale energieproductie'!O40+'lokale energieproductie'!O33</f>
        <v>20250</v>
      </c>
      <c r="D6" s="300">
        <f>('lokale energieproductie'!P33+'lokale energieproductie'!P40)*(-1)</f>
        <v>-40500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1224.079</v>
      </c>
      <c r="C8" s="21">
        <f>C5+C6</f>
        <v>20250</v>
      </c>
      <c r="D8" s="21">
        <f>MAX((D5+D6),0)</f>
        <v>0</v>
      </c>
      <c r="E8" s="21">
        <f>MAX((E5+E6),0)</f>
        <v>24.250057706928629</v>
      </c>
      <c r="F8" s="21">
        <f>MAX((F5+F6),0)</f>
        <v>4463.8708716507099</v>
      </c>
      <c r="G8" s="21"/>
      <c r="H8" s="21"/>
      <c r="I8" s="21"/>
      <c r="J8" s="21">
        <f>MAX((J5+J6),0)</f>
        <v>290.64567162742924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0.16642856220090307</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203.72170799031923</v>
      </c>
      <c r="C12" s="23">
        <f ca="1">C8*C10</f>
        <v>4812.3529411764703</v>
      </c>
      <c r="D12" s="23">
        <f>D8*D10</f>
        <v>0</v>
      </c>
      <c r="E12" s="23">
        <f>E8*E10</f>
        <v>5.5047630994727994</v>
      </c>
      <c r="F12" s="23">
        <f>F8*F10</f>
        <v>1191.8535227307395</v>
      </c>
      <c r="G12" s="23"/>
      <c r="H12" s="23"/>
      <c r="I12" s="23"/>
      <c r="J12" s="23">
        <f>J8*J10</f>
        <v>102.88856775610995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0.17260324711748873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141.42768908797535</v>
      </c>
      <c r="C26" s="242">
        <f>B26*'GWP N2O_CH4'!B5</f>
        <v>2969.9814708474823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65.681661276674518</v>
      </c>
      <c r="C27" s="242">
        <f>B27*'GWP N2O_CH4'!B5</f>
        <v>1379.3148868101648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2.5202858119658154</v>
      </c>
      <c r="C28" s="242">
        <f>B28*'GWP N2O_CH4'!B4</f>
        <v>781.28860170940277</v>
      </c>
      <c r="D28" s="50"/>
    </row>
    <row r="29" spans="1:4">
      <c r="A29" s="41" t="s">
        <v>266</v>
      </c>
      <c r="B29" s="242">
        <f>B34*'ha_N2O bodem landbouw'!B4</f>
        <v>16.271897251458732</v>
      </c>
      <c r="C29" s="242">
        <f>B29*'GWP N2O_CH4'!B4</f>
        <v>5044.2881479522066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3.6620611221968836E-3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1.5526453579968238E-4</v>
      </c>
      <c r="C5" s="427" t="s">
        <v>204</v>
      </c>
      <c r="D5" s="412">
        <f>SUM(D6:D11)</f>
        <v>2.4334767973747858E-4</v>
      </c>
      <c r="E5" s="412">
        <f>SUM(E6:E11)</f>
        <v>1.1577967882346653E-3</v>
      </c>
      <c r="F5" s="425" t="s">
        <v>204</v>
      </c>
      <c r="G5" s="412">
        <f>SUM(G6:G11)</f>
        <v>0.42732536094795209</v>
      </c>
      <c r="H5" s="412">
        <f>SUM(H6:H11)</f>
        <v>8.515852748265347E-2</v>
      </c>
      <c r="I5" s="427" t="s">
        <v>204</v>
      </c>
      <c r="J5" s="427" t="s">
        <v>204</v>
      </c>
      <c r="K5" s="427" t="s">
        <v>204</v>
      </c>
      <c r="L5" s="427" t="s">
        <v>204</v>
      </c>
      <c r="M5" s="412">
        <f>SUM(M6:M11)</f>
        <v>1.599583632385361E-2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9.5301788924124936E-5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1.5016983482182174E-4</v>
      </c>
      <c r="E6" s="818">
        <f>vkm_GW_PW*SUMIFS(TableVerdeelsleutelVkm[LPG],TableVerdeelsleutelVkm[Voertuigtype],"Lichte voertuigen")*SUMIFS(TableECFTransport[EnergieConsumptieFactor (PJ per km)],TableECFTransport[Index],CONCATENATE($A6,"_LPG_LPG"))</f>
        <v>6.8548993971127587E-4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0.18508361781665394</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5.2262155871975448E-2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7.3890521954158295E-3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2.184618056089321E-6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7.5301304349356293E-2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1.529810124903146E-6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2.3689883815755917E-3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1.8224118866645416E-5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4.0679976244853065E-5</v>
      </c>
      <c r="E8" s="415">
        <f>vkm_NGW_PW*SUMIFS(TableVerdeelsleutelVkm[LPG],TableVerdeelsleutelVkm[Voertuigtype],"Lichte voertuigen")*SUMIFS(TableECFTransport[EnergieConsumptieFactor (PJ per km)],TableECFTransport[Index],CONCATENATE($A8,"_LPG_LPG"))</f>
        <v>1.771568849481895E-4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4.4598408298610046E-2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1.3736197991867193E-2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1.8147482507952309E-3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1.3928955106445885E-7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6.1731466785077543E-3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1.177326710062349E-7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1.9420773055701319E-4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3.8077325862072387E-5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5.2497868670803775E-5</v>
      </c>
      <c r="E10" s="415">
        <f>vkm_SW_PW*SUMIFS(TableVerdeelsleutelVkm[LPG],TableVerdeelsleutelVkm[Voertuigtype],"Lichte voertuigen")*SUMIFS(TableECFTransport[EnergieConsumptieFactor (PJ per km)],TableECFTransport[Index],CONCATENATE($A10,"_LPG_LPG"))</f>
        <v>2.951499635751998E-4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7.2243620480159768E-2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1.9157562131587098E-2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2.8469433841412238E-3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1.3373945396858448E-6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4.3925263324664302E-2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9.6394442782688786E-7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1.3818963813687201E-3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43.129037722133994</v>
      </c>
      <c r="C14" s="21"/>
      <c r="D14" s="21">
        <f t="shared" ref="D14:M14" si="0">((D5)*10^9/3600)+D12</f>
        <v>67.596577704855164</v>
      </c>
      <c r="E14" s="21">
        <f t="shared" si="0"/>
        <v>321.61021895407367</v>
      </c>
      <c r="F14" s="21"/>
      <c r="G14" s="21">
        <f t="shared" si="0"/>
        <v>118701.48915220892</v>
      </c>
      <c r="H14" s="21">
        <f t="shared" si="0"/>
        <v>23655.146522959298</v>
      </c>
      <c r="I14" s="21"/>
      <c r="J14" s="21"/>
      <c r="K14" s="21"/>
      <c r="L14" s="21"/>
      <c r="M14" s="21">
        <f t="shared" si="0"/>
        <v>4443.2878677371136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0.16642856220090307</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7.1779037372032723</v>
      </c>
      <c r="C18" s="23"/>
      <c r="D18" s="23">
        <f t="shared" ref="D18:M18" si="1">D14*D16</f>
        <v>13.654508696380745</v>
      </c>
      <c r="E18" s="23">
        <f t="shared" si="1"/>
        <v>73.00551970257473</v>
      </c>
      <c r="F18" s="23"/>
      <c r="G18" s="23">
        <f t="shared" si="1"/>
        <v>31693.297603639781</v>
      </c>
      <c r="H18" s="23">
        <f t="shared" si="1"/>
        <v>5890.1314842168649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6.0650737377821208E-5</v>
      </c>
      <c r="C50" s="311">
        <f t="shared" ref="C50:P50" si="2">SUM(C51:C52)</f>
        <v>0</v>
      </c>
      <c r="D50" s="311">
        <f t="shared" si="2"/>
        <v>0</v>
      </c>
      <c r="E50" s="311">
        <f t="shared" si="2"/>
        <v>0</v>
      </c>
      <c r="F50" s="311">
        <f t="shared" si="2"/>
        <v>0</v>
      </c>
      <c r="G50" s="311">
        <f t="shared" si="2"/>
        <v>1.0814154880121826E-2</v>
      </c>
      <c r="H50" s="311">
        <f t="shared" si="2"/>
        <v>0</v>
      </c>
      <c r="I50" s="311">
        <f t="shared" si="2"/>
        <v>0</v>
      </c>
      <c r="J50" s="311">
        <f t="shared" si="2"/>
        <v>0</v>
      </c>
      <c r="K50" s="311">
        <f t="shared" si="2"/>
        <v>0</v>
      </c>
      <c r="L50" s="311">
        <f t="shared" si="2"/>
        <v>0</v>
      </c>
      <c r="M50" s="311">
        <f t="shared" si="2"/>
        <v>3.3757601446556619E-4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6.0650737377821208E-5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1.0814154880121826E-2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3.3757601446556619E-4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16.847427049394778</v>
      </c>
      <c r="C54" s="21">
        <f t="shared" ref="C54:P54" si="3">(C50)*10^9/3600</f>
        <v>0</v>
      </c>
      <c r="D54" s="21">
        <f t="shared" si="3"/>
        <v>0</v>
      </c>
      <c r="E54" s="21">
        <f t="shared" si="3"/>
        <v>0</v>
      </c>
      <c r="F54" s="21">
        <f t="shared" si="3"/>
        <v>0</v>
      </c>
      <c r="G54" s="21">
        <f t="shared" si="3"/>
        <v>3003.9319111449513</v>
      </c>
      <c r="H54" s="21">
        <f t="shared" si="3"/>
        <v>0</v>
      </c>
      <c r="I54" s="21">
        <f t="shared" si="3"/>
        <v>0</v>
      </c>
      <c r="J54" s="21">
        <f t="shared" si="3"/>
        <v>0</v>
      </c>
      <c r="K54" s="21">
        <f t="shared" si="3"/>
        <v>0</v>
      </c>
      <c r="L54" s="21">
        <f t="shared" si="3"/>
        <v>0</v>
      </c>
      <c r="M54" s="21">
        <f t="shared" si="3"/>
        <v>93.771115129323945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0.16642856220090307</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2.8038930606153758</v>
      </c>
      <c r="C58" s="23">
        <f t="shared" ref="C58:P58" ca="1" si="4">C54*C56</f>
        <v>0</v>
      </c>
      <c r="D58" s="23">
        <f t="shared" si="4"/>
        <v>0</v>
      </c>
      <c r="E58" s="23">
        <f t="shared" si="4"/>
        <v>0</v>
      </c>
      <c r="F58" s="23">
        <f t="shared" si="4"/>
        <v>0</v>
      </c>
      <c r="G58" s="23">
        <f t="shared" si="4"/>
        <v>802.04982027570202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16227.431914205365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13485.683921673815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N30</f>
        <v>14199.75</v>
      </c>
      <c r="C8" s="534">
        <f>B49</f>
        <v>16705.588235294115</v>
      </c>
      <c r="D8" s="961"/>
      <c r="E8" s="961">
        <f>E49</f>
        <v>0</v>
      </c>
      <c r="F8" s="962"/>
      <c r="G8" s="535"/>
      <c r="H8" s="961">
        <f>I49</f>
        <v>0</v>
      </c>
      <c r="I8" s="961">
        <f>G49+F49</f>
        <v>0</v>
      </c>
      <c r="J8" s="961">
        <f>H49+D49+C49</f>
        <v>0</v>
      </c>
      <c r="K8" s="961"/>
      <c r="L8" s="961"/>
      <c r="M8" s="961"/>
      <c r="N8" s="536"/>
      <c r="O8" s="537">
        <f>C8*$C$12+D8*$D$12+E8*$E$12+F8*$F$12+G8*$G$12+H8*$H$12+I8*$I$12+J8*$J$12</f>
        <v>3374.5288235294115</v>
      </c>
      <c r="P8" s="1205"/>
      <c r="Q8" s="1206"/>
      <c r="S8" s="925"/>
      <c r="T8" s="1180"/>
      <c r="U8" s="1180"/>
    </row>
    <row r="9" spans="1:21" s="523" customFormat="1" ht="17.45" customHeight="1" thickBot="1">
      <c r="A9" s="538" t="s">
        <v>237</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43912.86583587918</v>
      </c>
      <c r="C10" s="547">
        <f t="shared" ref="C10:L10" si="0">SUM(C8:C9)</f>
        <v>16705.588235294115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3374.5288235294115</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O30</f>
        <v>20285.357142857141</v>
      </c>
      <c r="C17" s="559">
        <f>B50</f>
        <v>23865.126050420164</v>
      </c>
      <c r="D17" s="560"/>
      <c r="E17" s="560">
        <f>E50</f>
        <v>0</v>
      </c>
      <c r="F17" s="967"/>
      <c r="G17" s="561"/>
      <c r="H17" s="559">
        <f>I50</f>
        <v>0</v>
      </c>
      <c r="I17" s="560">
        <f>G50+F50</f>
        <v>0</v>
      </c>
      <c r="J17" s="560">
        <f>H50+D50+C50</f>
        <v>0</v>
      </c>
      <c r="K17" s="560"/>
      <c r="L17" s="560"/>
      <c r="M17" s="560"/>
      <c r="N17" s="968"/>
      <c r="O17" s="562">
        <f>C17*$C$22+E17*$E$22+H17*$H$22+I17*$I$22+J17*$J$22+D17*$D$22+F17*$F$22+G17*$G$22+K17*$K$22+L17*$L$22</f>
        <v>4820.7554621848731</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20285.357142857141</v>
      </c>
      <c r="C20" s="546">
        <f>SUM(C17:C19)</f>
        <v>23865.126050420164</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4820.7554621848731</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24020</v>
      </c>
      <c r="C28" s="724">
        <v>3290</v>
      </c>
      <c r="D28" s="617"/>
      <c r="E28" s="616"/>
      <c r="F28" s="616"/>
      <c r="G28" s="616" t="s">
        <v>887</v>
      </c>
      <c r="H28" s="616" t="s">
        <v>888</v>
      </c>
      <c r="I28" s="616"/>
      <c r="J28" s="723"/>
      <c r="K28" s="723"/>
      <c r="L28" s="616" t="s">
        <v>889</v>
      </c>
      <c r="M28" s="616">
        <v>5.5</v>
      </c>
      <c r="N28" s="616">
        <v>24.75</v>
      </c>
      <c r="O28" s="616">
        <v>35.357142857142861</v>
      </c>
      <c r="P28" s="616">
        <v>70.714285714285722</v>
      </c>
      <c r="Q28" s="616">
        <v>0</v>
      </c>
      <c r="R28" s="616">
        <v>0</v>
      </c>
      <c r="S28" s="616">
        <v>0</v>
      </c>
      <c r="T28" s="616">
        <v>0</v>
      </c>
      <c r="U28" s="616">
        <v>0</v>
      </c>
      <c r="V28" s="616">
        <v>0</v>
      </c>
      <c r="W28" s="616">
        <v>0</v>
      </c>
      <c r="X28" s="616"/>
      <c r="Y28" s="616">
        <v>1600</v>
      </c>
      <c r="Z28" s="616" t="s">
        <v>49</v>
      </c>
      <c r="AA28" s="618" t="s">
        <v>149</v>
      </c>
    </row>
    <row r="29" spans="1:27" s="570" customFormat="1" ht="25.5" hidden="1">
      <c r="A29" s="569"/>
      <c r="B29" s="724">
        <v>24020</v>
      </c>
      <c r="C29" s="724">
        <v>3294</v>
      </c>
      <c r="D29" s="617"/>
      <c r="E29" s="616"/>
      <c r="F29" s="616"/>
      <c r="G29" s="616" t="s">
        <v>887</v>
      </c>
      <c r="H29" s="616" t="s">
        <v>888</v>
      </c>
      <c r="I29" s="616"/>
      <c r="J29" s="723"/>
      <c r="K29" s="723"/>
      <c r="L29" s="616" t="s">
        <v>889</v>
      </c>
      <c r="M29" s="616">
        <v>3150</v>
      </c>
      <c r="N29" s="616">
        <v>14175</v>
      </c>
      <c r="O29" s="616">
        <v>20250</v>
      </c>
      <c r="P29" s="616">
        <v>40500</v>
      </c>
      <c r="Q29" s="616">
        <v>0</v>
      </c>
      <c r="R29" s="616">
        <v>0</v>
      </c>
      <c r="S29" s="616">
        <v>0</v>
      </c>
      <c r="T29" s="616">
        <v>0</v>
      </c>
      <c r="U29" s="616">
        <v>0</v>
      </c>
      <c r="V29" s="616">
        <v>0</v>
      </c>
      <c r="W29" s="616">
        <v>0</v>
      </c>
      <c r="X29" s="616"/>
      <c r="Y29" s="616">
        <v>10</v>
      </c>
      <c r="Z29" s="616" t="s">
        <v>105</v>
      </c>
      <c r="AA29" s="618" t="s">
        <v>105</v>
      </c>
    </row>
    <row r="30" spans="1:27" s="554" customFormat="1" hidden="1">
      <c r="A30" s="572" t="s">
        <v>269</v>
      </c>
      <c r="B30" s="573"/>
      <c r="C30" s="573"/>
      <c r="D30" s="573"/>
      <c r="E30" s="573"/>
      <c r="F30" s="573"/>
      <c r="G30" s="573"/>
      <c r="H30" s="573"/>
      <c r="I30" s="573"/>
      <c r="J30" s="573"/>
      <c r="K30" s="573"/>
      <c r="L30" s="574"/>
      <c r="M30" s="574">
        <f>SUM(M28:M29)</f>
        <v>3155.5</v>
      </c>
      <c r="N30" s="574">
        <f>SUM(N28:N29)</f>
        <v>14199.75</v>
      </c>
      <c r="O30" s="574">
        <f>SUM(O28:O29)</f>
        <v>20285.357142857141</v>
      </c>
      <c r="P30" s="574">
        <f>SUM(P28:P29)</f>
        <v>40570.714285714283</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276</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277</v>
      </c>
      <c r="B32" s="573"/>
      <c r="C32" s="573"/>
      <c r="D32" s="573"/>
      <c r="E32" s="573"/>
      <c r="F32" s="573"/>
      <c r="G32" s="573"/>
      <c r="H32" s="573"/>
      <c r="I32" s="573"/>
      <c r="J32" s="573"/>
      <c r="K32" s="573"/>
      <c r="L32" s="574"/>
      <c r="M32" s="574">
        <f ca="1">SUMIF($AA$28:AD29,"tertiair",M28:M29)</f>
        <v>5.5</v>
      </c>
      <c r="N32" s="574">
        <f ca="1">SUMIF($AA$28:AE29,"tertiair",N28:N29)</f>
        <v>24.75</v>
      </c>
      <c r="O32" s="574">
        <f ca="1">SUMIF($AA$28:AF29,"tertiair",O28:O29)</f>
        <v>35.357142857142861</v>
      </c>
      <c r="P32" s="574">
        <f ca="1">SUMIF($AA$28:AG29,"tertiair",P28:P29)</f>
        <v>70.714285714285722</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278</v>
      </c>
      <c r="B33" s="578"/>
      <c r="C33" s="578"/>
      <c r="D33" s="578"/>
      <c r="E33" s="578"/>
      <c r="F33" s="578"/>
      <c r="G33" s="578"/>
      <c r="H33" s="578"/>
      <c r="I33" s="578"/>
      <c r="J33" s="578"/>
      <c r="K33" s="578"/>
      <c r="L33" s="579"/>
      <c r="M33" s="579">
        <f>SUMIF($AA$28:$AA$29,"landbouw",M28:M29)</f>
        <v>3150</v>
      </c>
      <c r="N33" s="579">
        <f>SUMIF($AA$28:$AA$29,"landbouw",N28:N29)</f>
        <v>14175</v>
      </c>
      <c r="O33" s="579">
        <f>SUMIF($AA$28:$AA$29,"landbouw",O28:O29)</f>
        <v>20250</v>
      </c>
      <c r="P33" s="579">
        <f>SUMIF($AA$28:$AA$29,"landbouw",P28:P29)</f>
        <v>40500</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270</v>
      </c>
      <c r="B35" s="613" t="s">
        <v>89</v>
      </c>
      <c r="C35" s="613" t="s">
        <v>90</v>
      </c>
      <c r="D35" s="613"/>
      <c r="E35" s="613"/>
      <c r="F35" s="613"/>
      <c r="G35" s="613" t="s">
        <v>91</v>
      </c>
      <c r="H35" s="613" t="s">
        <v>92</v>
      </c>
      <c r="I35" s="613"/>
      <c r="J35" s="613"/>
      <c r="K35" s="613"/>
      <c r="L35" s="613" t="s">
        <v>93</v>
      </c>
      <c r="M35" s="614" t="s">
        <v>287</v>
      </c>
      <c r="N35" s="614" t="s">
        <v>94</v>
      </c>
      <c r="O35" s="614" t="s">
        <v>95</v>
      </c>
      <c r="P35" s="614" t="s">
        <v>522</v>
      </c>
      <c r="Q35" s="614" t="s">
        <v>96</v>
      </c>
      <c r="R35" s="614" t="s">
        <v>97</v>
      </c>
      <c r="S35" s="614" t="s">
        <v>98</v>
      </c>
      <c r="T35" s="614" t="s">
        <v>99</v>
      </c>
      <c r="U35" s="614" t="s">
        <v>100</v>
      </c>
      <c r="V35" s="614" t="s">
        <v>101</v>
      </c>
      <c r="W35" s="613" t="s">
        <v>102</v>
      </c>
      <c r="X35" s="613" t="s">
        <v>886</v>
      </c>
      <c r="Y35" s="613" t="s">
        <v>288</v>
      </c>
      <c r="Z35" s="613" t="s">
        <v>103</v>
      </c>
      <c r="AA35" s="615" t="s">
        <v>289</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269</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276</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277</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278</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271</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272</v>
      </c>
      <c r="C45" s="596" t="s">
        <v>273</v>
      </c>
      <c r="D45" s="596"/>
      <c r="E45" s="596"/>
      <c r="F45" s="596"/>
      <c r="G45" s="596"/>
      <c r="H45" s="596"/>
      <c r="I45" s="597"/>
      <c r="J45" s="596"/>
      <c r="K45" s="596"/>
      <c r="L45" s="596"/>
      <c r="M45" s="596"/>
      <c r="N45" s="596"/>
      <c r="O45" s="596"/>
      <c r="P45" s="591"/>
    </row>
    <row r="46" spans="1:28">
      <c r="A46" s="593" t="s">
        <v>269</v>
      </c>
      <c r="B46" s="598">
        <f>IF(ISERROR(O30/(O30+N30)),0,O30/(O30+N30))</f>
        <v>0.58823529411764697</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522</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274</v>
      </c>
      <c r="B49" s="608">
        <f t="shared" ref="B49:I49" si="2">$C$46*P30</f>
        <v>16705.588235294115</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275</v>
      </c>
      <c r="B50" s="611">
        <f t="shared" ref="B50:I50" si="3">$B$46*P30</f>
        <v>23865.126050420164</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48297.203999999998</v>
      </c>
      <c r="D10" s="930">
        <f ca="1">tertiair!C16</f>
        <v>35.357142857142861</v>
      </c>
      <c r="E10" s="930">
        <f ca="1">tertiair!D16</f>
        <v>50141.530293690317</v>
      </c>
      <c r="F10" s="930">
        <f>tertiair!E16</f>
        <v>935.53326928308866</v>
      </c>
      <c r="G10" s="930">
        <f ca="1">tertiair!F16</f>
        <v>8765.112745895327</v>
      </c>
      <c r="H10" s="930">
        <f>tertiair!G16</f>
        <v>0</v>
      </c>
      <c r="I10" s="930">
        <f>tertiair!H16</f>
        <v>0</v>
      </c>
      <c r="J10" s="930">
        <f>tertiair!I16</f>
        <v>0</v>
      </c>
      <c r="K10" s="930">
        <f>tertiair!J16</f>
        <v>3.6560908406116595E-2</v>
      </c>
      <c r="L10" s="930">
        <f>tertiair!K16</f>
        <v>0</v>
      </c>
      <c r="M10" s="930">
        <f ca="1">tertiair!L16</f>
        <v>0</v>
      </c>
      <c r="N10" s="930">
        <f>tertiair!M16</f>
        <v>0</v>
      </c>
      <c r="O10" s="930">
        <f ca="1">tertiair!N16</f>
        <v>1373.5062775930135</v>
      </c>
      <c r="P10" s="930">
        <f>tertiair!O16</f>
        <v>3.1266666666666669</v>
      </c>
      <c r="Q10" s="931">
        <f>tertiair!P16</f>
        <v>19.066666666666666</v>
      </c>
      <c r="R10" s="628">
        <f ca="1">SUM(C10:Q10)</f>
        <v>109570.47362356063</v>
      </c>
      <c r="S10" s="67"/>
    </row>
    <row r="11" spans="1:19" s="437" customFormat="1">
      <c r="A11" s="736" t="s">
        <v>214</v>
      </c>
      <c r="B11" s="741"/>
      <c r="C11" s="930">
        <f>huishoudens!B8</f>
        <v>39933.220426898726</v>
      </c>
      <c r="D11" s="930">
        <f>huishoudens!C8</f>
        <v>0</v>
      </c>
      <c r="E11" s="930">
        <f>huishoudens!D8</f>
        <v>68592.481138522009</v>
      </c>
      <c r="F11" s="930">
        <f>huishoudens!E8</f>
        <v>2563.960643170552</v>
      </c>
      <c r="G11" s="930">
        <f>huishoudens!F8</f>
        <v>69709.014856817026</v>
      </c>
      <c r="H11" s="930">
        <f>huishoudens!G8</f>
        <v>0</v>
      </c>
      <c r="I11" s="930">
        <f>huishoudens!H8</f>
        <v>0</v>
      </c>
      <c r="J11" s="930">
        <f>huishoudens!I8</f>
        <v>0</v>
      </c>
      <c r="K11" s="930">
        <f>huishoudens!J8</f>
        <v>1285.5587429547209</v>
      </c>
      <c r="L11" s="930">
        <f>huishoudens!K8</f>
        <v>0</v>
      </c>
      <c r="M11" s="930">
        <f>huishoudens!L8</f>
        <v>0</v>
      </c>
      <c r="N11" s="930">
        <f>huishoudens!M8</f>
        <v>0</v>
      </c>
      <c r="O11" s="930">
        <f>huishoudens!N8</f>
        <v>13492.145194005656</v>
      </c>
      <c r="P11" s="930">
        <f>huishoudens!O8</f>
        <v>303.28666666666669</v>
      </c>
      <c r="Q11" s="931">
        <f>huishoudens!P8</f>
        <v>1067.7333333333333</v>
      </c>
      <c r="R11" s="628">
        <f>SUM(C11:Q11)</f>
        <v>196947.40100236869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25242.615000000002</v>
      </c>
      <c r="D13" s="930">
        <f>industrie!C18</f>
        <v>0</v>
      </c>
      <c r="E13" s="930">
        <f>industrie!D18</f>
        <v>13623.91239039028</v>
      </c>
      <c r="F13" s="930">
        <f>industrie!E18</f>
        <v>4290.366212672473</v>
      </c>
      <c r="G13" s="930">
        <f>industrie!F18</f>
        <v>16350.018150961732</v>
      </c>
      <c r="H13" s="930">
        <f>industrie!G18</f>
        <v>0</v>
      </c>
      <c r="I13" s="930">
        <f>industrie!H18</f>
        <v>0</v>
      </c>
      <c r="J13" s="930">
        <f>industrie!I18</f>
        <v>0</v>
      </c>
      <c r="K13" s="930">
        <f>industrie!J18</f>
        <v>84.112888959656104</v>
      </c>
      <c r="L13" s="930">
        <f>industrie!K18</f>
        <v>0</v>
      </c>
      <c r="M13" s="930">
        <f>industrie!L18</f>
        <v>0</v>
      </c>
      <c r="N13" s="930">
        <f>industrie!M18</f>
        <v>0</v>
      </c>
      <c r="O13" s="930">
        <f>industrie!N18</f>
        <v>2933.1334580660427</v>
      </c>
      <c r="P13" s="930">
        <f>industrie!O18</f>
        <v>0</v>
      </c>
      <c r="Q13" s="931">
        <f>industrie!P18</f>
        <v>0</v>
      </c>
      <c r="R13" s="628">
        <f>SUM(C13:Q13)</f>
        <v>62524.15810105019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113473.03942689873</v>
      </c>
      <c r="D16" s="660">
        <f t="shared" ref="D16:R16" ca="1" si="0">SUM(D9:D15)</f>
        <v>35.357142857142861</v>
      </c>
      <c r="E16" s="660">
        <f t="shared" ca="1" si="0"/>
        <v>132357.92382260261</v>
      </c>
      <c r="F16" s="660">
        <f t="shared" si="0"/>
        <v>7789.8601251261134</v>
      </c>
      <c r="G16" s="660">
        <f t="shared" ca="1" si="0"/>
        <v>94824.145753674093</v>
      </c>
      <c r="H16" s="660">
        <f t="shared" si="0"/>
        <v>0</v>
      </c>
      <c r="I16" s="660">
        <f t="shared" si="0"/>
        <v>0</v>
      </c>
      <c r="J16" s="660">
        <f t="shared" si="0"/>
        <v>0</v>
      </c>
      <c r="K16" s="660">
        <f t="shared" si="0"/>
        <v>1369.7081928227831</v>
      </c>
      <c r="L16" s="660">
        <f t="shared" si="0"/>
        <v>0</v>
      </c>
      <c r="M16" s="660">
        <f t="shared" ca="1" si="0"/>
        <v>0</v>
      </c>
      <c r="N16" s="660">
        <f t="shared" si="0"/>
        <v>0</v>
      </c>
      <c r="O16" s="660">
        <f t="shared" ca="1" si="0"/>
        <v>17798.784929664711</v>
      </c>
      <c r="P16" s="660">
        <f t="shared" si="0"/>
        <v>306.41333333333336</v>
      </c>
      <c r="Q16" s="660">
        <f t="shared" si="0"/>
        <v>1086.8</v>
      </c>
      <c r="R16" s="660">
        <f t="shared" ca="1" si="0"/>
        <v>369042.03272697947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16.847427049394778</v>
      </c>
      <c r="D19" s="930">
        <f>transport!C54</f>
        <v>0</v>
      </c>
      <c r="E19" s="930">
        <f>transport!D54</f>
        <v>0</v>
      </c>
      <c r="F19" s="930">
        <f>transport!E54</f>
        <v>0</v>
      </c>
      <c r="G19" s="930">
        <f>transport!F54</f>
        <v>0</v>
      </c>
      <c r="H19" s="930">
        <f>transport!G54</f>
        <v>3003.9319111449513</v>
      </c>
      <c r="I19" s="930">
        <f>transport!H54</f>
        <v>0</v>
      </c>
      <c r="J19" s="930">
        <f>transport!I54</f>
        <v>0</v>
      </c>
      <c r="K19" s="930">
        <f>transport!J54</f>
        <v>0</v>
      </c>
      <c r="L19" s="930">
        <f>transport!K54</f>
        <v>0</v>
      </c>
      <c r="M19" s="930">
        <f>transport!L54</f>
        <v>0</v>
      </c>
      <c r="N19" s="930">
        <f>transport!M54</f>
        <v>93.771115129323945</v>
      </c>
      <c r="O19" s="930">
        <f>transport!N54</f>
        <v>0</v>
      </c>
      <c r="P19" s="930">
        <f>transport!O54</f>
        <v>0</v>
      </c>
      <c r="Q19" s="931">
        <f>transport!P54</f>
        <v>0</v>
      </c>
      <c r="R19" s="628">
        <f>SUM(C19:Q19)</f>
        <v>3114.5504533236699</v>
      </c>
      <c r="S19" s="67"/>
    </row>
    <row r="20" spans="1:19" s="437" customFormat="1">
      <c r="A20" s="736" t="s">
        <v>296</v>
      </c>
      <c r="B20" s="741"/>
      <c r="C20" s="930">
        <f>transport!B14</f>
        <v>43.129037722133994</v>
      </c>
      <c r="D20" s="930">
        <f>transport!C14</f>
        <v>0</v>
      </c>
      <c r="E20" s="930">
        <f>transport!D14</f>
        <v>67.596577704855164</v>
      </c>
      <c r="F20" s="930">
        <f>transport!E14</f>
        <v>321.61021895407367</v>
      </c>
      <c r="G20" s="930">
        <f>transport!F14</f>
        <v>0</v>
      </c>
      <c r="H20" s="930">
        <f>transport!G14</f>
        <v>118701.48915220892</v>
      </c>
      <c r="I20" s="930">
        <f>transport!H14</f>
        <v>23655.146522959298</v>
      </c>
      <c r="J20" s="930">
        <f>transport!I14</f>
        <v>0</v>
      </c>
      <c r="K20" s="930">
        <f>transport!J14</f>
        <v>0</v>
      </c>
      <c r="L20" s="930">
        <f>transport!K14</f>
        <v>0</v>
      </c>
      <c r="M20" s="930">
        <f>transport!L14</f>
        <v>0</v>
      </c>
      <c r="N20" s="930">
        <f>transport!M14</f>
        <v>4443.2878677371136</v>
      </c>
      <c r="O20" s="930">
        <f>transport!N14</f>
        <v>0</v>
      </c>
      <c r="P20" s="930">
        <f>transport!O14</f>
        <v>0</v>
      </c>
      <c r="Q20" s="931">
        <f>transport!P14</f>
        <v>0</v>
      </c>
      <c r="R20" s="628">
        <f>SUM(C20:Q20)</f>
        <v>147232.25937728639</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59.976464771528768</v>
      </c>
      <c r="D22" s="739">
        <f t="shared" ref="D22:R22" si="1">SUM(D18:D21)</f>
        <v>0</v>
      </c>
      <c r="E22" s="739">
        <f t="shared" si="1"/>
        <v>67.596577704855164</v>
      </c>
      <c r="F22" s="739">
        <f t="shared" si="1"/>
        <v>321.61021895407367</v>
      </c>
      <c r="G22" s="739">
        <f t="shared" si="1"/>
        <v>0</v>
      </c>
      <c r="H22" s="739">
        <f t="shared" si="1"/>
        <v>121705.42106335386</v>
      </c>
      <c r="I22" s="739">
        <f t="shared" si="1"/>
        <v>23655.146522959298</v>
      </c>
      <c r="J22" s="739">
        <f t="shared" si="1"/>
        <v>0</v>
      </c>
      <c r="K22" s="739">
        <f t="shared" si="1"/>
        <v>0</v>
      </c>
      <c r="L22" s="739">
        <f t="shared" si="1"/>
        <v>0</v>
      </c>
      <c r="M22" s="739">
        <f t="shared" si="1"/>
        <v>0</v>
      </c>
      <c r="N22" s="739">
        <f t="shared" si="1"/>
        <v>4537.0589828664379</v>
      </c>
      <c r="O22" s="739">
        <f t="shared" si="1"/>
        <v>0</v>
      </c>
      <c r="P22" s="739">
        <f t="shared" si="1"/>
        <v>0</v>
      </c>
      <c r="Q22" s="739">
        <f t="shared" si="1"/>
        <v>0</v>
      </c>
      <c r="R22" s="739">
        <f t="shared" si="1"/>
        <v>150346.80983061006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1224.079</v>
      </c>
      <c r="D24" s="930">
        <f>+landbouw!C8</f>
        <v>20250</v>
      </c>
      <c r="E24" s="930">
        <f>+landbouw!D8</f>
        <v>0</v>
      </c>
      <c r="F24" s="930">
        <f>+landbouw!E8</f>
        <v>24.250057706928629</v>
      </c>
      <c r="G24" s="930">
        <f>+landbouw!F8</f>
        <v>4463.8708716507099</v>
      </c>
      <c r="H24" s="930">
        <f>+landbouw!G8</f>
        <v>0</v>
      </c>
      <c r="I24" s="930">
        <f>+landbouw!H8</f>
        <v>0</v>
      </c>
      <c r="J24" s="930">
        <f>+landbouw!I8</f>
        <v>0</v>
      </c>
      <c r="K24" s="930">
        <f>+landbouw!J8</f>
        <v>290.64567162742924</v>
      </c>
      <c r="L24" s="930">
        <f>+landbouw!K8</f>
        <v>0</v>
      </c>
      <c r="M24" s="930">
        <f>+landbouw!L8</f>
        <v>0</v>
      </c>
      <c r="N24" s="930">
        <f>+landbouw!M8</f>
        <v>0</v>
      </c>
      <c r="O24" s="930">
        <f>+landbouw!N8</f>
        <v>0</v>
      </c>
      <c r="P24" s="930">
        <f>+landbouw!O8</f>
        <v>0</v>
      </c>
      <c r="Q24" s="931">
        <f>+landbouw!P8</f>
        <v>0</v>
      </c>
      <c r="R24" s="628">
        <f>SUM(C24:Q24)</f>
        <v>26252.845600985071</v>
      </c>
      <c r="S24" s="67"/>
    </row>
    <row r="25" spans="1:19" s="437" customFormat="1" ht="15" thickBot="1">
      <c r="A25" s="758" t="s">
        <v>788</v>
      </c>
      <c r="B25" s="933"/>
      <c r="C25" s="934">
        <f>IF(Onbekend_ele_kWh="---",0,Onbekend_ele_kWh)/1000+IF(REST_rest_ele_kWh="---",0,REST_rest_ele_kWh)/1000</f>
        <v>1241.5809999999999</v>
      </c>
      <c r="D25" s="934"/>
      <c r="E25" s="934">
        <f>IF(onbekend_gas_kWh="---",0,onbekend_gas_kWh)/1000+IF(REST_rest_gas_kWh="---",0,REST_rest_gas_kWh)/1000</f>
        <v>7747.0372692999999</v>
      </c>
      <c r="F25" s="934"/>
      <c r="G25" s="934"/>
      <c r="H25" s="934"/>
      <c r="I25" s="934"/>
      <c r="J25" s="934"/>
      <c r="K25" s="934"/>
      <c r="L25" s="934"/>
      <c r="M25" s="934"/>
      <c r="N25" s="934"/>
      <c r="O25" s="934"/>
      <c r="P25" s="934"/>
      <c r="Q25" s="935"/>
      <c r="R25" s="628">
        <f>SUM(C25:Q25)</f>
        <v>8988.6182692999992</v>
      </c>
      <c r="S25" s="67"/>
    </row>
    <row r="26" spans="1:19" s="437" customFormat="1" ht="15.75" thickBot="1">
      <c r="A26" s="633" t="s">
        <v>789</v>
      </c>
      <c r="B26" s="744"/>
      <c r="C26" s="739">
        <f>SUM(C24:C25)</f>
        <v>2465.66</v>
      </c>
      <c r="D26" s="739">
        <f t="shared" ref="D26:R26" si="2">SUM(D24:D25)</f>
        <v>20250</v>
      </c>
      <c r="E26" s="739">
        <f t="shared" si="2"/>
        <v>7747.0372692999999</v>
      </c>
      <c r="F26" s="739">
        <f t="shared" si="2"/>
        <v>24.250057706928629</v>
      </c>
      <c r="G26" s="739">
        <f t="shared" si="2"/>
        <v>4463.8708716507099</v>
      </c>
      <c r="H26" s="739">
        <f t="shared" si="2"/>
        <v>0</v>
      </c>
      <c r="I26" s="739">
        <f t="shared" si="2"/>
        <v>0</v>
      </c>
      <c r="J26" s="739">
        <f t="shared" si="2"/>
        <v>0</v>
      </c>
      <c r="K26" s="739">
        <f t="shared" si="2"/>
        <v>290.64567162742924</v>
      </c>
      <c r="L26" s="739">
        <f t="shared" si="2"/>
        <v>0</v>
      </c>
      <c r="M26" s="739">
        <f t="shared" si="2"/>
        <v>0</v>
      </c>
      <c r="N26" s="739">
        <f t="shared" si="2"/>
        <v>0</v>
      </c>
      <c r="O26" s="739">
        <f t="shared" si="2"/>
        <v>0</v>
      </c>
      <c r="P26" s="739">
        <f t="shared" si="2"/>
        <v>0</v>
      </c>
      <c r="Q26" s="739">
        <f t="shared" si="2"/>
        <v>0</v>
      </c>
      <c r="R26" s="739">
        <f t="shared" si="2"/>
        <v>35241.463870285072</v>
      </c>
      <c r="S26" s="67"/>
    </row>
    <row r="27" spans="1:19" s="437" customFormat="1" ht="17.25" thickTop="1" thickBot="1">
      <c r="A27" s="634" t="s">
        <v>109</v>
      </c>
      <c r="B27" s="732"/>
      <c r="C27" s="635">
        <f ca="1">C22+C16+C26</f>
        <v>115998.67589167027</v>
      </c>
      <c r="D27" s="635">
        <f t="shared" ref="D27:R27" ca="1" si="3">D22+D16+D26</f>
        <v>20285.357142857141</v>
      </c>
      <c r="E27" s="635">
        <f t="shared" ca="1" si="3"/>
        <v>140172.55766960746</v>
      </c>
      <c r="F27" s="635">
        <f t="shared" si="3"/>
        <v>8135.7204017871154</v>
      </c>
      <c r="G27" s="635">
        <f t="shared" ca="1" si="3"/>
        <v>99288.016625324803</v>
      </c>
      <c r="H27" s="635">
        <f t="shared" si="3"/>
        <v>121705.42106335386</v>
      </c>
      <c r="I27" s="635">
        <f t="shared" si="3"/>
        <v>23655.146522959298</v>
      </c>
      <c r="J27" s="635">
        <f t="shared" si="3"/>
        <v>0</v>
      </c>
      <c r="K27" s="635">
        <f t="shared" si="3"/>
        <v>1660.3538644502123</v>
      </c>
      <c r="L27" s="635">
        <f t="shared" si="3"/>
        <v>0</v>
      </c>
      <c r="M27" s="635">
        <f t="shared" ca="1" si="3"/>
        <v>0</v>
      </c>
      <c r="N27" s="635">
        <f t="shared" si="3"/>
        <v>4537.0589828664379</v>
      </c>
      <c r="O27" s="635">
        <f t="shared" ca="1" si="3"/>
        <v>17798.784929664711</v>
      </c>
      <c r="P27" s="635">
        <f t="shared" si="3"/>
        <v>306.41333333333336</v>
      </c>
      <c r="Q27" s="635">
        <f t="shared" si="3"/>
        <v>1086.8</v>
      </c>
      <c r="R27" s="635">
        <f t="shared" ca="1" si="3"/>
        <v>554630.3064278746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8038.0342200437044</v>
      </c>
      <c r="D40" s="930">
        <f ca="1">tertiair!C20</f>
        <v>8.4025210084033617</v>
      </c>
      <c r="E40" s="930">
        <f ca="1">tertiair!D20</f>
        <v>10128.589119325445</v>
      </c>
      <c r="F40" s="930">
        <f>tertiair!E20</f>
        <v>212.36605212726113</v>
      </c>
      <c r="G40" s="930">
        <f ca="1">tertiair!F20</f>
        <v>2340.2851031540526</v>
      </c>
      <c r="H40" s="930">
        <f>tertiair!G20</f>
        <v>0</v>
      </c>
      <c r="I40" s="930">
        <f>tertiair!H20</f>
        <v>0</v>
      </c>
      <c r="J40" s="930">
        <f>tertiair!I20</f>
        <v>0</v>
      </c>
      <c r="K40" s="930">
        <f>tertiair!J20</f>
        <v>1.2942561575765274E-2</v>
      </c>
      <c r="L40" s="930">
        <f>tertiair!K20</f>
        <v>0</v>
      </c>
      <c r="M40" s="930">
        <f ca="1">tertiair!L20</f>
        <v>0</v>
      </c>
      <c r="N40" s="930">
        <f>tertiair!M20</f>
        <v>0</v>
      </c>
      <c r="O40" s="930">
        <f ca="1">tertiair!N20</f>
        <v>0</v>
      </c>
      <c r="P40" s="930">
        <f>tertiair!O20</f>
        <v>0</v>
      </c>
      <c r="Q40" s="702">
        <f>tertiair!P20</f>
        <v>0</v>
      </c>
      <c r="R40" s="777">
        <f t="shared" ca="1" si="4"/>
        <v>20727.689958220439</v>
      </c>
    </row>
    <row r="41" spans="1:18">
      <c r="A41" s="749" t="s">
        <v>214</v>
      </c>
      <c r="B41" s="756"/>
      <c r="C41" s="930">
        <f ca="1">huishoudens!B12</f>
        <v>6646.0284597004875</v>
      </c>
      <c r="D41" s="930">
        <f ca="1">huishoudens!C12</f>
        <v>0</v>
      </c>
      <c r="E41" s="930">
        <f>huishoudens!D12</f>
        <v>13855.681189981447</v>
      </c>
      <c r="F41" s="930">
        <f>huishoudens!E12</f>
        <v>582.01906599971528</v>
      </c>
      <c r="G41" s="930">
        <f>huishoudens!F12</f>
        <v>18612.306966770146</v>
      </c>
      <c r="H41" s="930">
        <f>huishoudens!G12</f>
        <v>0</v>
      </c>
      <c r="I41" s="930">
        <f>huishoudens!H12</f>
        <v>0</v>
      </c>
      <c r="J41" s="930">
        <f>huishoudens!I12</f>
        <v>0</v>
      </c>
      <c r="K41" s="930">
        <f>huishoudens!J12</f>
        <v>455.08779500597115</v>
      </c>
      <c r="L41" s="930">
        <f>huishoudens!K12</f>
        <v>0</v>
      </c>
      <c r="M41" s="930">
        <f>huishoudens!L12</f>
        <v>0</v>
      </c>
      <c r="N41" s="930">
        <f>huishoudens!M12</f>
        <v>0</v>
      </c>
      <c r="O41" s="930">
        <f>huishoudens!N12</f>
        <v>0</v>
      </c>
      <c r="P41" s="930">
        <f>huishoudens!O12</f>
        <v>0</v>
      </c>
      <c r="Q41" s="702">
        <f>huishoudens!P12</f>
        <v>0</v>
      </c>
      <c r="R41" s="777">
        <f t="shared" ca="1" si="4"/>
        <v>40151.123477457768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4201.0921206409494</v>
      </c>
      <c r="D43" s="930">
        <f ca="1">industrie!C22</f>
        <v>0</v>
      </c>
      <c r="E43" s="930">
        <f>industrie!D22</f>
        <v>2752.0303028588369</v>
      </c>
      <c r="F43" s="930">
        <f>industrie!E22</f>
        <v>973.91313027665137</v>
      </c>
      <c r="G43" s="930">
        <f>industrie!F22</f>
        <v>4365.4548463067831</v>
      </c>
      <c r="H43" s="930">
        <f>industrie!G22</f>
        <v>0</v>
      </c>
      <c r="I43" s="930">
        <f>industrie!H22</f>
        <v>0</v>
      </c>
      <c r="J43" s="930">
        <f>industrie!I22</f>
        <v>0</v>
      </c>
      <c r="K43" s="930">
        <f>industrie!J22</f>
        <v>29.775962691718259</v>
      </c>
      <c r="L43" s="930">
        <f>industrie!K22</f>
        <v>0</v>
      </c>
      <c r="M43" s="930">
        <f>industrie!L22</f>
        <v>0</v>
      </c>
      <c r="N43" s="930">
        <f>industrie!M22</f>
        <v>0</v>
      </c>
      <c r="O43" s="930">
        <f>industrie!N22</f>
        <v>0</v>
      </c>
      <c r="P43" s="930">
        <f>industrie!O22</f>
        <v>0</v>
      </c>
      <c r="Q43" s="702">
        <f>industrie!P22</f>
        <v>0</v>
      </c>
      <c r="R43" s="776">
        <f t="shared" ca="1" si="4"/>
        <v>12322.266362774939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18885.154800385142</v>
      </c>
      <c r="D46" s="660">
        <f t="shared" ref="D46:Q46" ca="1" si="5">SUM(D39:D45)</f>
        <v>8.4025210084033617</v>
      </c>
      <c r="E46" s="660">
        <f t="shared" ca="1" si="5"/>
        <v>26736.300612165731</v>
      </c>
      <c r="F46" s="660">
        <f t="shared" si="5"/>
        <v>1768.2982484036279</v>
      </c>
      <c r="G46" s="660">
        <f t="shared" ca="1" si="5"/>
        <v>25318.046916230982</v>
      </c>
      <c r="H46" s="660">
        <f t="shared" si="5"/>
        <v>0</v>
      </c>
      <c r="I46" s="660">
        <f t="shared" si="5"/>
        <v>0</v>
      </c>
      <c r="J46" s="660">
        <f t="shared" si="5"/>
        <v>0</v>
      </c>
      <c r="K46" s="660">
        <f t="shared" si="5"/>
        <v>484.87670025926514</v>
      </c>
      <c r="L46" s="660">
        <f t="shared" si="5"/>
        <v>0</v>
      </c>
      <c r="M46" s="660">
        <f t="shared" ca="1" si="5"/>
        <v>0</v>
      </c>
      <c r="N46" s="660">
        <f t="shared" si="5"/>
        <v>0</v>
      </c>
      <c r="O46" s="660">
        <f t="shared" ca="1" si="5"/>
        <v>0</v>
      </c>
      <c r="P46" s="660">
        <f t="shared" si="5"/>
        <v>0</v>
      </c>
      <c r="Q46" s="660">
        <f t="shared" si="5"/>
        <v>0</v>
      </c>
      <c r="R46" s="660">
        <f ca="1">SUM(R39:R45)</f>
        <v>73201.079798453153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2.8038930606153758</v>
      </c>
      <c r="D49" s="930">
        <f ca="1">transport!C58</f>
        <v>0</v>
      </c>
      <c r="E49" s="930">
        <f>transport!D58</f>
        <v>0</v>
      </c>
      <c r="F49" s="930">
        <f>transport!E58</f>
        <v>0</v>
      </c>
      <c r="G49" s="930">
        <f>transport!F58</f>
        <v>0</v>
      </c>
      <c r="H49" s="930">
        <f>transport!G58</f>
        <v>802.04982027570202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804.85371333631736</v>
      </c>
    </row>
    <row r="50" spans="1:18">
      <c r="A50" s="752" t="s">
        <v>296</v>
      </c>
      <c r="B50" s="762"/>
      <c r="C50" s="631">
        <f ca="1">transport!B18</f>
        <v>7.1779037372032723</v>
      </c>
      <c r="D50" s="631">
        <f>transport!C18</f>
        <v>0</v>
      </c>
      <c r="E50" s="631">
        <f>transport!D18</f>
        <v>13.654508696380745</v>
      </c>
      <c r="F50" s="631">
        <f>transport!E18</f>
        <v>73.00551970257473</v>
      </c>
      <c r="G50" s="631">
        <f>transport!F18</f>
        <v>0</v>
      </c>
      <c r="H50" s="631">
        <f>transport!G18</f>
        <v>31693.297603639781</v>
      </c>
      <c r="I50" s="631">
        <f>transport!H18</f>
        <v>5890.1314842168649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37677.267019992803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9.9817967978186477</v>
      </c>
      <c r="D52" s="660">
        <f t="shared" ref="D52:Q52" ca="1" si="6">SUM(D48:D51)</f>
        <v>0</v>
      </c>
      <c r="E52" s="660">
        <f t="shared" si="6"/>
        <v>13.654508696380745</v>
      </c>
      <c r="F52" s="660">
        <f t="shared" si="6"/>
        <v>73.00551970257473</v>
      </c>
      <c r="G52" s="660">
        <f t="shared" si="6"/>
        <v>0</v>
      </c>
      <c r="H52" s="660">
        <f t="shared" si="6"/>
        <v>32495.347423915482</v>
      </c>
      <c r="I52" s="660">
        <f t="shared" si="6"/>
        <v>5890.1314842168649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38482.120733329124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203.72170799031923</v>
      </c>
      <c r="D54" s="631">
        <f ca="1">+landbouw!C12</f>
        <v>4812.3529411764703</v>
      </c>
      <c r="E54" s="631">
        <f>+landbouw!D12</f>
        <v>0</v>
      </c>
      <c r="F54" s="631">
        <f>+landbouw!E12</f>
        <v>5.5047630994727994</v>
      </c>
      <c r="G54" s="631">
        <f>+landbouw!F12</f>
        <v>1191.8535227307395</v>
      </c>
      <c r="H54" s="631">
        <f>+landbouw!G12</f>
        <v>0</v>
      </c>
      <c r="I54" s="631">
        <f>+landbouw!H12</f>
        <v>0</v>
      </c>
      <c r="J54" s="631">
        <f>+landbouw!I12</f>
        <v>0</v>
      </c>
      <c r="K54" s="631">
        <f>+landbouw!J12</f>
        <v>102.88856775610995</v>
      </c>
      <c r="L54" s="631">
        <f>+landbouw!K12</f>
        <v>0</v>
      </c>
      <c r="M54" s="631">
        <f>+landbouw!L12</f>
        <v>0</v>
      </c>
      <c r="N54" s="631">
        <f>+landbouw!M12</f>
        <v>0</v>
      </c>
      <c r="O54" s="631">
        <f>+landbouw!N12</f>
        <v>0</v>
      </c>
      <c r="P54" s="631">
        <f>+landbouw!O12</f>
        <v>0</v>
      </c>
      <c r="Q54" s="632">
        <f>+landbouw!P12</f>
        <v>0</v>
      </c>
      <c r="R54" s="659">
        <f ca="1">SUM(C54:Q54)</f>
        <v>6316.3215027531123</v>
      </c>
    </row>
    <row r="55" spans="1:18" ht="15" thickBot="1">
      <c r="A55" s="752" t="s">
        <v>788</v>
      </c>
      <c r="B55" s="762"/>
      <c r="C55" s="631">
        <f ca="1">C25*'EF ele_warmte'!B12</f>
        <v>206.63454068595942</v>
      </c>
      <c r="D55" s="631"/>
      <c r="E55" s="631">
        <f>E25*EF_CO2_aardgas</f>
        <v>1564.9015283986</v>
      </c>
      <c r="F55" s="631"/>
      <c r="G55" s="631"/>
      <c r="H55" s="631"/>
      <c r="I55" s="631"/>
      <c r="J55" s="631"/>
      <c r="K55" s="631"/>
      <c r="L55" s="631"/>
      <c r="M55" s="631"/>
      <c r="N55" s="631"/>
      <c r="O55" s="631"/>
      <c r="P55" s="631"/>
      <c r="Q55" s="632"/>
      <c r="R55" s="659">
        <f ca="1">SUM(C55:Q55)</f>
        <v>1771.5360690845594</v>
      </c>
    </row>
    <row r="56" spans="1:18" ht="15.75" thickBot="1">
      <c r="A56" s="750" t="s">
        <v>789</v>
      </c>
      <c r="B56" s="763"/>
      <c r="C56" s="660">
        <f ca="1">SUM(C54:C55)</f>
        <v>410.35624867627865</v>
      </c>
      <c r="D56" s="660">
        <f t="shared" ref="D56:Q56" ca="1" si="7">SUM(D54:D55)</f>
        <v>4812.3529411764703</v>
      </c>
      <c r="E56" s="660">
        <f t="shared" si="7"/>
        <v>1564.9015283986</v>
      </c>
      <c r="F56" s="660">
        <f t="shared" si="7"/>
        <v>5.5047630994727994</v>
      </c>
      <c r="G56" s="660">
        <f t="shared" si="7"/>
        <v>1191.8535227307395</v>
      </c>
      <c r="H56" s="660">
        <f t="shared" si="7"/>
        <v>0</v>
      </c>
      <c r="I56" s="660">
        <f t="shared" si="7"/>
        <v>0</v>
      </c>
      <c r="J56" s="660">
        <f t="shared" si="7"/>
        <v>0</v>
      </c>
      <c r="K56" s="660">
        <f t="shared" si="7"/>
        <v>102.88856775610995</v>
      </c>
      <c r="L56" s="660">
        <f t="shared" si="7"/>
        <v>0</v>
      </c>
      <c r="M56" s="660">
        <f t="shared" si="7"/>
        <v>0</v>
      </c>
      <c r="N56" s="660">
        <f t="shared" si="7"/>
        <v>0</v>
      </c>
      <c r="O56" s="660">
        <f t="shared" si="7"/>
        <v>0</v>
      </c>
      <c r="P56" s="660">
        <f t="shared" si="7"/>
        <v>0</v>
      </c>
      <c r="Q56" s="661">
        <f t="shared" si="7"/>
        <v>0</v>
      </c>
      <c r="R56" s="662">
        <f ca="1">SUM(R54:R55)</f>
        <v>8087.8575718376715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19305.49284585924</v>
      </c>
      <c r="D61" s="668">
        <f t="shared" ref="D61:Q61" ca="1" si="8">D46+D52+D56</f>
        <v>4820.755462184874</v>
      </c>
      <c r="E61" s="668">
        <f t="shared" ca="1" si="8"/>
        <v>28314.856649260713</v>
      </c>
      <c r="F61" s="668">
        <f t="shared" si="8"/>
        <v>1846.8085312056753</v>
      </c>
      <c r="G61" s="668">
        <f t="shared" ca="1" si="8"/>
        <v>26509.900438961722</v>
      </c>
      <c r="H61" s="668">
        <f t="shared" si="8"/>
        <v>32495.347423915482</v>
      </c>
      <c r="I61" s="668">
        <f t="shared" si="8"/>
        <v>5890.1314842168649</v>
      </c>
      <c r="J61" s="668">
        <f t="shared" si="8"/>
        <v>0</v>
      </c>
      <c r="K61" s="668">
        <f t="shared" si="8"/>
        <v>587.76526801537511</v>
      </c>
      <c r="L61" s="668">
        <f t="shared" si="8"/>
        <v>0</v>
      </c>
      <c r="M61" s="668">
        <f t="shared" ca="1" si="8"/>
        <v>0</v>
      </c>
      <c r="N61" s="668">
        <f t="shared" si="8"/>
        <v>0</v>
      </c>
      <c r="O61" s="668">
        <f t="shared" ca="1" si="8"/>
        <v>0</v>
      </c>
      <c r="P61" s="668">
        <f t="shared" si="8"/>
        <v>0</v>
      </c>
      <c r="Q61" s="668">
        <f t="shared" si="8"/>
        <v>0</v>
      </c>
      <c r="R61" s="668">
        <f ca="1">R46+R52+R56</f>
        <v>119771.05810361994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0.16642856220090307</v>
      </c>
      <c r="D63" s="709">
        <f t="shared" ca="1" si="9"/>
        <v>0.23764705882352943</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16227.431914205365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13485.683921673815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14199.75</v>
      </c>
      <c r="D76" s="951">
        <f>'lokale energieproductie'!C8</f>
        <v>16705.588235294115</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3374.5288235294115</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29713.11583587918</v>
      </c>
      <c r="C78" s="683">
        <f>SUM(C72:C77)</f>
        <v>14199.75</v>
      </c>
      <c r="D78" s="684">
        <f t="shared" ref="D78:H78" si="10">SUM(D76:D77)</f>
        <v>16705.588235294115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3374.5288235294115</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20285.357142857141</v>
      </c>
      <c r="D87" s="705">
        <f>'lokale energieproductie'!C17</f>
        <v>23865.126050420164</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4820.7554621848731</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20285.357142857141</v>
      </c>
      <c r="D90" s="683">
        <f t="shared" ref="D90:H90" si="12">SUM(D87:D89)</f>
        <v>23865.126050420164</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4820.7554621848731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39933.220426898726</v>
      </c>
      <c r="C4" s="441">
        <f>huishoudens!C8</f>
        <v>0</v>
      </c>
      <c r="D4" s="441">
        <f>huishoudens!D8</f>
        <v>68592.481138522009</v>
      </c>
      <c r="E4" s="441">
        <f>huishoudens!E8</f>
        <v>2563.960643170552</v>
      </c>
      <c r="F4" s="441">
        <f>huishoudens!F8</f>
        <v>69709.014856817026</v>
      </c>
      <c r="G4" s="441">
        <f>huishoudens!G8</f>
        <v>0</v>
      </c>
      <c r="H4" s="441">
        <f>huishoudens!H8</f>
        <v>0</v>
      </c>
      <c r="I4" s="441">
        <f>huishoudens!I8</f>
        <v>0</v>
      </c>
      <c r="J4" s="441">
        <f>huishoudens!J8</f>
        <v>1285.5587429547209</v>
      </c>
      <c r="K4" s="441">
        <f>huishoudens!K8</f>
        <v>0</v>
      </c>
      <c r="L4" s="441">
        <f>huishoudens!L8</f>
        <v>0</v>
      </c>
      <c r="M4" s="441">
        <f>huishoudens!M8</f>
        <v>0</v>
      </c>
      <c r="N4" s="441">
        <f>huishoudens!N8</f>
        <v>13492.145194005656</v>
      </c>
      <c r="O4" s="441">
        <f>huishoudens!O8</f>
        <v>303.28666666666669</v>
      </c>
      <c r="P4" s="442">
        <f>huishoudens!P8</f>
        <v>1067.7333333333333</v>
      </c>
      <c r="Q4" s="443">
        <f>SUM(B4:P4)</f>
        <v>196947.40100236869</v>
      </c>
    </row>
    <row r="5" spans="1:17">
      <c r="A5" s="440" t="s">
        <v>149</v>
      </c>
      <c r="B5" s="441">
        <f ca="1">tertiair!B16</f>
        <v>46282.366999999998</v>
      </c>
      <c r="C5" s="441">
        <f ca="1">tertiair!C16</f>
        <v>35.357142857142861</v>
      </c>
      <c r="D5" s="441">
        <f ca="1">tertiair!D16</f>
        <v>50141.530293690317</v>
      </c>
      <c r="E5" s="441">
        <f>tertiair!E16</f>
        <v>935.53326928308866</v>
      </c>
      <c r="F5" s="441">
        <f ca="1">tertiair!F16</f>
        <v>8765.112745895327</v>
      </c>
      <c r="G5" s="441">
        <f>tertiair!G16</f>
        <v>0</v>
      </c>
      <c r="H5" s="441">
        <f>tertiair!H16</f>
        <v>0</v>
      </c>
      <c r="I5" s="441">
        <f>tertiair!I16</f>
        <v>0</v>
      </c>
      <c r="J5" s="441">
        <f>tertiair!J16</f>
        <v>3.6560908406116595E-2</v>
      </c>
      <c r="K5" s="441">
        <f>tertiair!K16</f>
        <v>0</v>
      </c>
      <c r="L5" s="441">
        <f ca="1">tertiair!L16</f>
        <v>0</v>
      </c>
      <c r="M5" s="441">
        <f>tertiair!M16</f>
        <v>0</v>
      </c>
      <c r="N5" s="441">
        <f ca="1">tertiair!N16</f>
        <v>1373.5062775930135</v>
      </c>
      <c r="O5" s="441">
        <f>tertiair!O16</f>
        <v>3.1266666666666669</v>
      </c>
      <c r="P5" s="442">
        <f>tertiair!P16</f>
        <v>19.066666666666666</v>
      </c>
      <c r="Q5" s="440">
        <f t="shared" ref="Q5:Q14" ca="1" si="0">SUM(B5:P5)</f>
        <v>107555.63662356063</v>
      </c>
    </row>
    <row r="6" spans="1:17">
      <c r="A6" s="440" t="s">
        <v>187</v>
      </c>
      <c r="B6" s="441">
        <f>'openbare verlichting'!B8</f>
        <v>2014.837</v>
      </c>
      <c r="C6" s="441"/>
      <c r="D6" s="441"/>
      <c r="E6" s="441"/>
      <c r="F6" s="441"/>
      <c r="G6" s="441"/>
      <c r="H6" s="441"/>
      <c r="I6" s="441"/>
      <c r="J6" s="441"/>
      <c r="K6" s="441"/>
      <c r="L6" s="441"/>
      <c r="M6" s="441"/>
      <c r="N6" s="441"/>
      <c r="O6" s="441"/>
      <c r="P6" s="442"/>
      <c r="Q6" s="440">
        <f t="shared" si="0"/>
        <v>2014.837</v>
      </c>
    </row>
    <row r="7" spans="1:17">
      <c r="A7" s="440" t="s">
        <v>105</v>
      </c>
      <c r="B7" s="441">
        <f>landbouw!B8</f>
        <v>1224.079</v>
      </c>
      <c r="C7" s="441">
        <f>landbouw!C8</f>
        <v>20250</v>
      </c>
      <c r="D7" s="441">
        <f>landbouw!D8</f>
        <v>0</v>
      </c>
      <c r="E7" s="441">
        <f>landbouw!E8</f>
        <v>24.250057706928629</v>
      </c>
      <c r="F7" s="441">
        <f>landbouw!F8</f>
        <v>4463.8708716507099</v>
      </c>
      <c r="G7" s="441">
        <f>landbouw!G8</f>
        <v>0</v>
      </c>
      <c r="H7" s="441">
        <f>landbouw!H8</f>
        <v>0</v>
      </c>
      <c r="I7" s="441">
        <f>landbouw!I8</f>
        <v>0</v>
      </c>
      <c r="J7" s="441">
        <f>landbouw!J8</f>
        <v>290.64567162742924</v>
      </c>
      <c r="K7" s="441">
        <f>landbouw!K8</f>
        <v>0</v>
      </c>
      <c r="L7" s="441">
        <f>landbouw!L8</f>
        <v>0</v>
      </c>
      <c r="M7" s="441">
        <f>landbouw!M8</f>
        <v>0</v>
      </c>
      <c r="N7" s="441">
        <f>landbouw!N8</f>
        <v>0</v>
      </c>
      <c r="O7" s="441">
        <f>landbouw!O8</f>
        <v>0</v>
      </c>
      <c r="P7" s="442">
        <f>landbouw!P8</f>
        <v>0</v>
      </c>
      <c r="Q7" s="440">
        <f t="shared" si="0"/>
        <v>26252.845600985071</v>
      </c>
    </row>
    <row r="8" spans="1:17">
      <c r="A8" s="440" t="s">
        <v>600</v>
      </c>
      <c r="B8" s="441">
        <f>industrie!B18</f>
        <v>25242.615000000002</v>
      </c>
      <c r="C8" s="441">
        <f>industrie!C18</f>
        <v>0</v>
      </c>
      <c r="D8" s="441">
        <f>industrie!D18</f>
        <v>13623.91239039028</v>
      </c>
      <c r="E8" s="441">
        <f>industrie!E18</f>
        <v>4290.366212672473</v>
      </c>
      <c r="F8" s="441">
        <f>industrie!F18</f>
        <v>16350.018150961732</v>
      </c>
      <c r="G8" s="441">
        <f>industrie!G18</f>
        <v>0</v>
      </c>
      <c r="H8" s="441">
        <f>industrie!H18</f>
        <v>0</v>
      </c>
      <c r="I8" s="441">
        <f>industrie!I18</f>
        <v>0</v>
      </c>
      <c r="J8" s="441">
        <f>industrie!J18</f>
        <v>84.112888959656104</v>
      </c>
      <c r="K8" s="441">
        <f>industrie!K18</f>
        <v>0</v>
      </c>
      <c r="L8" s="441">
        <f>industrie!L18</f>
        <v>0</v>
      </c>
      <c r="M8" s="441">
        <f>industrie!M18</f>
        <v>0</v>
      </c>
      <c r="N8" s="441">
        <f>industrie!N18</f>
        <v>2933.1334580660427</v>
      </c>
      <c r="O8" s="441">
        <f>industrie!O18</f>
        <v>0</v>
      </c>
      <c r="P8" s="442">
        <f>industrie!P18</f>
        <v>0</v>
      </c>
      <c r="Q8" s="440">
        <f t="shared" si="0"/>
        <v>62524.15810105019</v>
      </c>
    </row>
    <row r="9" spans="1:17" s="446" customFormat="1">
      <c r="A9" s="444" t="s">
        <v>549</v>
      </c>
      <c r="B9" s="445">
        <f>transport!B14</f>
        <v>43.129037722133994</v>
      </c>
      <c r="C9" s="445">
        <f>transport!C14</f>
        <v>0</v>
      </c>
      <c r="D9" s="445">
        <f>transport!D14</f>
        <v>67.596577704855164</v>
      </c>
      <c r="E9" s="445">
        <f>transport!E14</f>
        <v>321.61021895407367</v>
      </c>
      <c r="F9" s="445">
        <f>transport!F14</f>
        <v>0</v>
      </c>
      <c r="G9" s="445">
        <f>transport!G14</f>
        <v>118701.48915220892</v>
      </c>
      <c r="H9" s="445">
        <f>transport!H14</f>
        <v>23655.146522959298</v>
      </c>
      <c r="I9" s="445">
        <f>transport!I14</f>
        <v>0</v>
      </c>
      <c r="J9" s="445">
        <f>transport!J14</f>
        <v>0</v>
      </c>
      <c r="K9" s="445">
        <f>transport!K14</f>
        <v>0</v>
      </c>
      <c r="L9" s="445">
        <f>transport!L14</f>
        <v>0</v>
      </c>
      <c r="M9" s="445">
        <f>transport!M14</f>
        <v>4443.2878677371136</v>
      </c>
      <c r="N9" s="445">
        <f>transport!N14</f>
        <v>0</v>
      </c>
      <c r="O9" s="445">
        <f>transport!O14</f>
        <v>0</v>
      </c>
      <c r="P9" s="445">
        <f>transport!P14</f>
        <v>0</v>
      </c>
      <c r="Q9" s="444">
        <f>SUM(B9:P9)</f>
        <v>147232.25937728639</v>
      </c>
    </row>
    <row r="10" spans="1:17">
      <c r="A10" s="440" t="s">
        <v>539</v>
      </c>
      <c r="B10" s="441">
        <f>transport!B54</f>
        <v>16.847427049394778</v>
      </c>
      <c r="C10" s="441">
        <f>transport!C54</f>
        <v>0</v>
      </c>
      <c r="D10" s="441">
        <f>transport!D54</f>
        <v>0</v>
      </c>
      <c r="E10" s="441">
        <f>transport!E54</f>
        <v>0</v>
      </c>
      <c r="F10" s="441">
        <f>transport!F54</f>
        <v>0</v>
      </c>
      <c r="G10" s="441">
        <f>transport!G54</f>
        <v>3003.9319111449513</v>
      </c>
      <c r="H10" s="441">
        <f>transport!H54</f>
        <v>0</v>
      </c>
      <c r="I10" s="441">
        <f>transport!I54</f>
        <v>0</v>
      </c>
      <c r="J10" s="441">
        <f>transport!J54</f>
        <v>0</v>
      </c>
      <c r="K10" s="441">
        <f>transport!K54</f>
        <v>0</v>
      </c>
      <c r="L10" s="441">
        <f>transport!L54</f>
        <v>0</v>
      </c>
      <c r="M10" s="441">
        <f>transport!M54</f>
        <v>93.771115129323945</v>
      </c>
      <c r="N10" s="441">
        <f>transport!N54</f>
        <v>0</v>
      </c>
      <c r="O10" s="441">
        <f>transport!O54</f>
        <v>0</v>
      </c>
      <c r="P10" s="442">
        <f>transport!P54</f>
        <v>0</v>
      </c>
      <c r="Q10" s="440">
        <f t="shared" si="0"/>
        <v>3114.5504533236699</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1241.5809999999999</v>
      </c>
      <c r="C14" s="448"/>
      <c r="D14" s="448">
        <f>'SEAP template'!E25</f>
        <v>7747.0372692999999</v>
      </c>
      <c r="E14" s="448"/>
      <c r="F14" s="448"/>
      <c r="G14" s="448"/>
      <c r="H14" s="448"/>
      <c r="I14" s="448"/>
      <c r="J14" s="448"/>
      <c r="K14" s="448"/>
      <c r="L14" s="448"/>
      <c r="M14" s="448"/>
      <c r="N14" s="448"/>
      <c r="O14" s="448"/>
      <c r="P14" s="449"/>
      <c r="Q14" s="440">
        <f t="shared" si="0"/>
        <v>8988.6182692999992</v>
      </c>
    </row>
    <row r="15" spans="1:17" s="450" customFormat="1">
      <c r="A15" s="956" t="s">
        <v>543</v>
      </c>
      <c r="B15" s="896">
        <f ca="1">SUM(B4:B14)</f>
        <v>115998.67589167025</v>
      </c>
      <c r="C15" s="896">
        <f t="shared" ref="C15:Q15" ca="1" si="1">SUM(C4:C14)</f>
        <v>20285.357142857141</v>
      </c>
      <c r="D15" s="896">
        <f t="shared" ca="1" si="1"/>
        <v>140172.55766960746</v>
      </c>
      <c r="E15" s="896">
        <f t="shared" si="1"/>
        <v>8135.7204017871154</v>
      </c>
      <c r="F15" s="896">
        <f t="shared" ca="1" si="1"/>
        <v>99288.016625324788</v>
      </c>
      <c r="G15" s="896">
        <f t="shared" si="1"/>
        <v>121705.42106335386</v>
      </c>
      <c r="H15" s="896">
        <f t="shared" si="1"/>
        <v>23655.146522959298</v>
      </c>
      <c r="I15" s="896">
        <f t="shared" si="1"/>
        <v>0</v>
      </c>
      <c r="J15" s="896">
        <f t="shared" si="1"/>
        <v>1660.3538644502123</v>
      </c>
      <c r="K15" s="896">
        <f t="shared" si="1"/>
        <v>0</v>
      </c>
      <c r="L15" s="896">
        <f t="shared" ca="1" si="1"/>
        <v>0</v>
      </c>
      <c r="M15" s="896">
        <f t="shared" si="1"/>
        <v>4537.0589828664379</v>
      </c>
      <c r="N15" s="896">
        <f t="shared" ca="1" si="1"/>
        <v>17798.784929664711</v>
      </c>
      <c r="O15" s="896">
        <f t="shared" si="1"/>
        <v>306.41333333333336</v>
      </c>
      <c r="P15" s="896">
        <f t="shared" si="1"/>
        <v>1086.8</v>
      </c>
      <c r="Q15" s="896">
        <f t="shared" ca="1" si="1"/>
        <v>554630.3064278746</v>
      </c>
    </row>
    <row r="17" spans="1:17">
      <c r="A17" s="451" t="s">
        <v>544</v>
      </c>
      <c r="B17" s="714">
        <f ca="1">huishoudens!B10</f>
        <v>0.16642856220090307</v>
      </c>
      <c r="C17" s="714">
        <f ca="1">huishoudens!C10</f>
        <v>0.23764705882352938</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6646.0284597004875</v>
      </c>
      <c r="C22" s="441">
        <f t="shared" ref="C22:C32" ca="1" si="3">C4*$C$17</f>
        <v>0</v>
      </c>
      <c r="D22" s="441">
        <f t="shared" ref="D22:D32" si="4">D4*$D$17</f>
        <v>13855.681189981447</v>
      </c>
      <c r="E22" s="441">
        <f t="shared" ref="E22:E32" si="5">E4*$E$17</f>
        <v>582.01906599971528</v>
      </c>
      <c r="F22" s="441">
        <f t="shared" ref="F22:F32" si="6">F4*$F$17</f>
        <v>18612.306966770146</v>
      </c>
      <c r="G22" s="441">
        <f t="shared" ref="G22:G32" si="7">G4*$G$17</f>
        <v>0</v>
      </c>
      <c r="H22" s="441">
        <f t="shared" ref="H22:H32" si="8">H4*$H$17</f>
        <v>0</v>
      </c>
      <c r="I22" s="441">
        <f t="shared" ref="I22:I32" si="9">I4*$I$17</f>
        <v>0</v>
      </c>
      <c r="J22" s="441">
        <f t="shared" ref="J22:J32" si="10">J4*$J$17</f>
        <v>455.08779500597115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40151.123477457768</v>
      </c>
    </row>
    <row r="23" spans="1:17">
      <c r="A23" s="440" t="s">
        <v>149</v>
      </c>
      <c r="B23" s="441">
        <f t="shared" ca="1" si="2"/>
        <v>7702.7077950645235</v>
      </c>
      <c r="C23" s="441">
        <f t="shared" ca="1" si="3"/>
        <v>8.4025210084033617</v>
      </c>
      <c r="D23" s="441">
        <f t="shared" ca="1" si="4"/>
        <v>10128.589119325445</v>
      </c>
      <c r="E23" s="441">
        <f t="shared" si="5"/>
        <v>212.36605212726113</v>
      </c>
      <c r="F23" s="441">
        <f t="shared" ca="1" si="6"/>
        <v>2340.2851031540526</v>
      </c>
      <c r="G23" s="441">
        <f t="shared" si="7"/>
        <v>0</v>
      </c>
      <c r="H23" s="441">
        <f t="shared" si="8"/>
        <v>0</v>
      </c>
      <c r="I23" s="441">
        <f t="shared" si="9"/>
        <v>0</v>
      </c>
      <c r="J23" s="441">
        <f t="shared" si="10"/>
        <v>1.2942561575765274E-2</v>
      </c>
      <c r="K23" s="441">
        <f t="shared" si="11"/>
        <v>0</v>
      </c>
      <c r="L23" s="441">
        <f t="shared" ca="1" si="12"/>
        <v>0</v>
      </c>
      <c r="M23" s="441">
        <f t="shared" si="13"/>
        <v>0</v>
      </c>
      <c r="N23" s="441">
        <f t="shared" ca="1" si="14"/>
        <v>0</v>
      </c>
      <c r="O23" s="441">
        <f t="shared" si="15"/>
        <v>0</v>
      </c>
      <c r="P23" s="442">
        <f t="shared" si="16"/>
        <v>0</v>
      </c>
      <c r="Q23" s="440">
        <f t="shared" ref="Q23:Q32" ca="1" si="17">SUM(B23:P23)</f>
        <v>20392.36353324126</v>
      </c>
    </row>
    <row r="24" spans="1:17">
      <c r="A24" s="440" t="s">
        <v>187</v>
      </c>
      <c r="B24" s="441">
        <f t="shared" ca="1" si="2"/>
        <v>335.32642497918096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335.32642497918096</v>
      </c>
    </row>
    <row r="25" spans="1:17">
      <c r="A25" s="440" t="s">
        <v>105</v>
      </c>
      <c r="B25" s="441">
        <f t="shared" ca="1" si="2"/>
        <v>203.72170799031923</v>
      </c>
      <c r="C25" s="441">
        <f t="shared" ca="1" si="3"/>
        <v>4812.3529411764703</v>
      </c>
      <c r="D25" s="441">
        <f t="shared" si="4"/>
        <v>0</v>
      </c>
      <c r="E25" s="441">
        <f t="shared" si="5"/>
        <v>5.5047630994727994</v>
      </c>
      <c r="F25" s="441">
        <f t="shared" si="6"/>
        <v>1191.8535227307395</v>
      </c>
      <c r="G25" s="441">
        <f t="shared" si="7"/>
        <v>0</v>
      </c>
      <c r="H25" s="441">
        <f t="shared" si="8"/>
        <v>0</v>
      </c>
      <c r="I25" s="441">
        <f t="shared" si="9"/>
        <v>0</v>
      </c>
      <c r="J25" s="441">
        <f t="shared" si="10"/>
        <v>102.88856775610995</v>
      </c>
      <c r="K25" s="441">
        <f t="shared" si="11"/>
        <v>0</v>
      </c>
      <c r="L25" s="441">
        <f t="shared" si="12"/>
        <v>0</v>
      </c>
      <c r="M25" s="441">
        <f t="shared" si="13"/>
        <v>0</v>
      </c>
      <c r="N25" s="441">
        <f t="shared" si="14"/>
        <v>0</v>
      </c>
      <c r="O25" s="441">
        <f t="shared" si="15"/>
        <v>0</v>
      </c>
      <c r="P25" s="442">
        <f t="shared" si="16"/>
        <v>0</v>
      </c>
      <c r="Q25" s="440">
        <f t="shared" ca="1" si="17"/>
        <v>6316.3215027531123</v>
      </c>
    </row>
    <row r="26" spans="1:17">
      <c r="A26" s="440" t="s">
        <v>600</v>
      </c>
      <c r="B26" s="441">
        <f t="shared" ca="1" si="2"/>
        <v>4201.0921206409494</v>
      </c>
      <c r="C26" s="441">
        <f t="shared" ca="1" si="3"/>
        <v>0</v>
      </c>
      <c r="D26" s="441">
        <f t="shared" si="4"/>
        <v>2752.0303028588369</v>
      </c>
      <c r="E26" s="441">
        <f t="shared" si="5"/>
        <v>973.91313027665137</v>
      </c>
      <c r="F26" s="441">
        <f t="shared" si="6"/>
        <v>4365.4548463067831</v>
      </c>
      <c r="G26" s="441">
        <f t="shared" si="7"/>
        <v>0</v>
      </c>
      <c r="H26" s="441">
        <f t="shared" si="8"/>
        <v>0</v>
      </c>
      <c r="I26" s="441">
        <f t="shared" si="9"/>
        <v>0</v>
      </c>
      <c r="J26" s="441">
        <f t="shared" si="10"/>
        <v>29.775962691718259</v>
      </c>
      <c r="K26" s="441">
        <f t="shared" si="11"/>
        <v>0</v>
      </c>
      <c r="L26" s="441">
        <f t="shared" si="12"/>
        <v>0</v>
      </c>
      <c r="M26" s="441">
        <f t="shared" si="13"/>
        <v>0</v>
      </c>
      <c r="N26" s="441">
        <f t="shared" si="14"/>
        <v>0</v>
      </c>
      <c r="O26" s="441">
        <f t="shared" si="15"/>
        <v>0</v>
      </c>
      <c r="P26" s="442">
        <f t="shared" si="16"/>
        <v>0</v>
      </c>
      <c r="Q26" s="440">
        <f t="shared" ca="1" si="17"/>
        <v>12322.266362774939</v>
      </c>
    </row>
    <row r="27" spans="1:17" s="446" customFormat="1">
      <c r="A27" s="444" t="s">
        <v>549</v>
      </c>
      <c r="B27" s="708">
        <f t="shared" ca="1" si="2"/>
        <v>7.1779037372032723</v>
      </c>
      <c r="C27" s="445">
        <f t="shared" ca="1" si="3"/>
        <v>0</v>
      </c>
      <c r="D27" s="445">
        <f t="shared" si="4"/>
        <v>13.654508696380745</v>
      </c>
      <c r="E27" s="445">
        <f t="shared" si="5"/>
        <v>73.00551970257473</v>
      </c>
      <c r="F27" s="445">
        <f t="shared" si="6"/>
        <v>0</v>
      </c>
      <c r="G27" s="445">
        <f t="shared" si="7"/>
        <v>31693.297603639781</v>
      </c>
      <c r="H27" s="445">
        <f t="shared" si="8"/>
        <v>5890.1314842168649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37677.267019992803</v>
      </c>
    </row>
    <row r="28" spans="1:17">
      <c r="A28" s="440" t="s">
        <v>539</v>
      </c>
      <c r="B28" s="441">
        <f t="shared" ca="1" si="2"/>
        <v>2.8038930606153758</v>
      </c>
      <c r="C28" s="441">
        <f t="shared" ca="1" si="3"/>
        <v>0</v>
      </c>
      <c r="D28" s="441">
        <f t="shared" si="4"/>
        <v>0</v>
      </c>
      <c r="E28" s="441">
        <f t="shared" si="5"/>
        <v>0</v>
      </c>
      <c r="F28" s="441">
        <f t="shared" si="6"/>
        <v>0</v>
      </c>
      <c r="G28" s="441">
        <f t="shared" si="7"/>
        <v>802.04982027570202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804.85371333631736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206.63454068595942</v>
      </c>
      <c r="C32" s="441">
        <f t="shared" ca="1" si="3"/>
        <v>0</v>
      </c>
      <c r="D32" s="441">
        <f t="shared" si="4"/>
        <v>1564.9015283986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1771.5360690845594</v>
      </c>
    </row>
    <row r="33" spans="1:17" s="450" customFormat="1">
      <c r="A33" s="956" t="s">
        <v>543</v>
      </c>
      <c r="B33" s="896">
        <f ca="1">SUM(B22:B32)</f>
        <v>19305.49284585924</v>
      </c>
      <c r="C33" s="896">
        <f t="shared" ref="C33:Q33" ca="1" si="18">SUM(C22:C32)</f>
        <v>4820.755462184874</v>
      </c>
      <c r="D33" s="896">
        <f t="shared" ca="1" si="18"/>
        <v>28314.856649260713</v>
      </c>
      <c r="E33" s="896">
        <f t="shared" si="18"/>
        <v>1846.8085312056753</v>
      </c>
      <c r="F33" s="896">
        <f t="shared" ca="1" si="18"/>
        <v>26509.900438961722</v>
      </c>
      <c r="G33" s="896">
        <f t="shared" si="18"/>
        <v>32495.347423915482</v>
      </c>
      <c r="H33" s="896">
        <f t="shared" si="18"/>
        <v>5890.1314842168649</v>
      </c>
      <c r="I33" s="896">
        <f t="shared" si="18"/>
        <v>0</v>
      </c>
      <c r="J33" s="896">
        <f t="shared" si="18"/>
        <v>587.76526801537511</v>
      </c>
      <c r="K33" s="896">
        <f t="shared" si="18"/>
        <v>0</v>
      </c>
      <c r="L33" s="896">
        <f t="shared" ca="1" si="18"/>
        <v>0</v>
      </c>
      <c r="M33" s="896">
        <f t="shared" si="18"/>
        <v>0</v>
      </c>
      <c r="N33" s="896">
        <f t="shared" ca="1" si="18"/>
        <v>0</v>
      </c>
      <c r="O33" s="896">
        <f t="shared" si="18"/>
        <v>0</v>
      </c>
      <c r="P33" s="896">
        <f t="shared" si="18"/>
        <v>0</v>
      </c>
      <c r="Q33" s="896">
        <f t="shared" ca="1" si="18"/>
        <v>119771.05810361994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16227.431914205365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13485.683921673815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14199.75</v>
      </c>
      <c r="D8" s="973">
        <f>'SEAP template'!D76</f>
        <v>16705.588235294115</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3374.5288235294115</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29713.11583587918</v>
      </c>
      <c r="C10" s="977">
        <f>SUM(C4:C9)</f>
        <v>14199.75</v>
      </c>
      <c r="D10" s="977">
        <f t="shared" ref="D10:H10" si="0">SUM(D8:D9)</f>
        <v>16705.588235294115</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3374.5288235294115</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0.16642856220090307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20285.357142857141</v>
      </c>
      <c r="D17" s="974">
        <f>'SEAP template'!D87</f>
        <v>23865.126050420164</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4820.7554621848731</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20285.357142857141</v>
      </c>
      <c r="D20" s="977">
        <f t="shared" ref="D20:H20" si="2">SUM(D17:D19)</f>
        <v>23865.126050420164</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4820.7554621848731</v>
      </c>
    </row>
    <row r="22" spans="1:16">
      <c r="A22" s="451" t="s">
        <v>811</v>
      </c>
      <c r="B22" s="714" t="s">
        <v>805</v>
      </c>
      <c r="C22" s="714">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0.16642856220090307</v>
      </c>
      <c r="C17" s="488">
        <f ca="1">'EF ele_warmte'!B22</f>
        <v>0.23764705882352938</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2022-07-26T11:05:03Z</dcterms:modified>
</cp:coreProperties>
</file>