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10AD53D-2FF6-4F94-BE46-4CD5C50C8B4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<sst xmlns="http://schemas.openxmlformats.org/spreadsheetml/2006/main" count="2411" uniqueCount="890">
  <si>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</si>
  <si>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</si>
  <si>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</si>
  <si>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</si>
  <si>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</si>
  <si>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</si>
  <si>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</si>
  <si>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</si>
  <si>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</si>
  <si>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</si>
  <si>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</si>
  <si>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</si>
  <si>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</si>
  <si>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</si>
  <si>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</si>
  <si>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</si>
  <si>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</si>
  <si>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</si>
  <si>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</si>
  <si>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</si>
  <si>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</si>
  <si>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</si>
  <si>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</si>
  <si>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</si>
  <si>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</si>
  <si>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</si>
  <si>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</si>
  <si>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</si>
  <si>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</si>
  <si>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</si>
  <si>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</si>
  <si>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</si>
  <si>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</si>
  <si>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</si>
  <si>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</si>
  <si>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</si>
  <si>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</si>
  <si>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</si>
  <si>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</si>
  <si>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</si>
  <si>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</si>
  <si>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</si>
  <si>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</si>
  <si>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</si>
  <si>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</si>
  <si>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</si>
  <si>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</si>
  <si>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</si>
  <si>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</si>
  <si>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</si>
  <si>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</si>
  <si>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</si>
  <si>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</si>
  <si>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</si>
  <si>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</si>
  <si>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</si>
  <si>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</si>
  <si>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</si>
  <si>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</si>
  <si>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</si>
  <si>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</si>
  <si>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</si>
  <si>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</si>
  <si>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</si>
  <si>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</si>
  <si>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</si>
  <si>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</si>
  <si>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</si>
  <si>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</si>
  <si>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</si>
  <si>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</si>
  <si>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</si>
  <si>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</si>
  <si>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</si>
  <si>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</si>
  <si>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</si>
  <si>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</si>
  <si>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</si>
  <si>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</si>
  <si>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</si>
  <si>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</si>
  <si>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</si>
  <si>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</si>
  <si>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</si>
  <si>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</si>
  <si>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</si>
  <si>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</si>
  <si>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</si>
  <si>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</si>
  <si>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</si>
  <si>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</si>
  <si>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</si>
  <si>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</si>
  <si>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</si>
  <si>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</si>
  <si>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</si>
  <si>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</si>
  <si>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</si>
  <si>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</si>
  <si>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</si>
  <si>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</si>
  <si>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</si>
  <si>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</si>
  <si>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</si>
  <si>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</si>
  <si>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</si>
  <si>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</si>
  <si>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</si>
  <si>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</si>
  <si>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</si>
  <si>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</si>
  <si>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</si>
  <si>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</si>
  <si>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</si>
  <si>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</si>
  <si>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</si>
  <si>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</si>
  <si>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</si>
  <si>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</si>
  <si>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</si>
  <si>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</si>
  <si>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</si>
  <si>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</si>
  <si>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</si>
  <si>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</si>
  <si>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</si>
  <si>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</si>
  <si>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</si>
  <si>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</si>
  <si>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</si>
  <si>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</si>
  <si>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</si>
  <si>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</si>
  <si>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</si>
  <si>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</si>
  <si>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</si>
  <si>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</si>
  <si>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</si>
  <si>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</si>
  <si>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</si>
  <si>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</si>
  <si>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</si>
  <si>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</si>
  <si>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</si>
  <si>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</si>
  <si>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</si>
  <si>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</si>
  <si>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</si>
  <si>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</si>
  <si>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</si>
  <si>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</si>
  <si>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</si>
  <si>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</si>
  <si>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</si>
  <si>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</si>
  <si>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</si>
  <si>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</si>
  <si>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</si>
  <si>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</si>
  <si>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</si>
  <si>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</si>
  <si>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</si>
  <si>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</si>
  <si>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</si>
  <si>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</si>
  <si>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</si>
  <si>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</si>
  <si>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</si>
  <si>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</si>
  <si>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</si>
  <si>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</si>
  <si>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</si>
  <si>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</si>
  <si>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</si>
  <si>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</si>
  <si>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</si>
  <si>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</si>
  <si>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</si>
  <si>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</si>
  <si>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</si>
  <si>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</si>
  <si>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</si>
  <si>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</si>
  <si>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</si>
  <si>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</si>
  <si>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</si>
  <si>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</si>
  <si>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</si>
  <si>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</si>
  <si>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</si>
  <si>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</si>
  <si>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</si>
  <si>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</si>
  <si>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</si>
  <si>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</si>
  <si>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</si>
  <si>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</si>
  <si>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</si>
  <si>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</si>
  <si>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</si>
  <si>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</si>
  <si>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</si>
  <si>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</si>
  <si>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</si>
  <si>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</si>
  <si>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</si>
  <si>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</si>
  <si>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</si>
  <si>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</si>
  <si>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</si>
  <si>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</si>
  <si>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</si>
  <si>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</si>
  <si>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</si>
  <si>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</si>
  <si>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</si>
  <si>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</si>
  <si>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</si>
  <si>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</si>
  <si>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</si>
  <si>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</si>
  <si>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</si>
  <si>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</si>
  <si>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</si>
  <si>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</si>
  <si>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</si>
  <si>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</si>
  <si>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</si>
  <si>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</si>
  <si>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</si>
  <si>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</si>
  <si>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</si>
  <si>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</si>
  <si>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</si>
  <si>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</si>
  <si>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</si>
  <si>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</si>
  <si>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</si>
  <si>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</si>
  <si>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</si>
  <si>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</si>
  <si>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</si>
  <si>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</si>
  <si>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</si>
  <si>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</si>
  <si>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</si>
  <si>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</si>
  <si>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</si>
  <si>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</si>
  <si>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</si>
  <si>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</si>
  <si>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</si>
  <si>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</si>
  <si>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</si>
  <si>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</si>
  <si>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</si>
  <si>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</si>
  <si>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</si>
  <si>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</si>
  <si>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</si>
  <si>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</si>
  <si>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</si>
  <si>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</si>
  <si>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</si>
  <si>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</si>
  <si>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</si>
  <si>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</si>
  <si>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</si>
  <si>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</si>
  <si>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</si>
  <si>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</si>
  <si>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</si>
  <si>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</si>
  <si>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</si>
  <si>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</si>
  <si>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</si>
  <si>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</si>
  <si>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</si>
  <si>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</si>
  <si>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</si>
  <si>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</si>
  <si>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</si>
  <si>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</si>
  <si>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</si>
  <si>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</si>
  <si>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</si>
  <si>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</si>
  <si>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</si>
  <si>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</si>
  <si>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</si>
  <si>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</si>
  <si>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</si>
  <si>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</si>
  <si>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</si>
  <si>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</si>
  <si>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</si>
  <si>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</si>
  <si>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</si>
  <si>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</si>
  <si>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</si>
  <si>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</si>
  <si>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</si>
  <si>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</si>
  <si>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</si>
  <si>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</si>
  <si>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</si>
  <si>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</si>
  <si>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</si>
  <si>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</si>
  <si>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</si>
  <si>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</si>
  <si>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</si>
  <si>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</si>
  <si>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</si>
  <si>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</si>
  <si>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</si>
  <si>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</si>
  <si>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</si>
  <si>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</si>
  <si>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</si>
  <si>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</si>
  <si>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</si>
  <si>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</si>
  <si>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</si>
  <si>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</si>
  <si>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</si>
  <si>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</si>
  <si>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</si>
  <si>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</si>
  <si>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</si>
  <si>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</si>
  <si>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</si>
  <si>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</si>
  <si>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</si>
  <si>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</si>
  <si>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</si>
  <si>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</si>
  <si>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</si>
  <si>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</si>
  <si>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</si>
  <si>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</si>
  <si>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</si>
  <si>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</si>
  <si>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</si>
  <si>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</si>
  <si>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</si>
  <si>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</si>
  <si>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</si>
  <si>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</si>
  <si>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</si>
  <si>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</si>
  <si>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</si>
  <si>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</si>
  <si>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</si>
  <si>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</si>
  <si>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</si>
  <si>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</si>
  <si>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</si>
  <si>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</si>
  <si>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</si>
  <si>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</si>
  <si>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</si>
  <si>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</si>
  <si>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</si>
  <si>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</si>
  <si>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</si>
  <si>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</si>
  <si>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</si>
  <si>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</si>
  <si>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</si>
  <si>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</si>
  <si>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</si>
  <si>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</si>
  <si>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</si>
  <si>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</si>
  <si>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</si>
  <si>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</si>
  <si>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</si>
  <si>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</si>
  <si>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</si>
  <si>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</si>
  <si>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</si>
  <si>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</si>
  <si>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</si>
  <si>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</si>
  <si>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</si>
  <si>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</si>
  <si>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</si>
  <si>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</si>
  <si>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</si>
  <si>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</si>
  <si>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</si>
  <si>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</si>
  <si>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</si>
  <si>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</si>
  <si>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</si>
  <si>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</si>
  <si>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</si>
  <si>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</si>
  <si>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</si>
  <si>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</si>
  <si>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</si>
  <si>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</si>
  <si>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</si>
  <si>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</si>
  <si>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</si>
  <si>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</si>
  <si>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</si>
  <si>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</si>
  <si>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</si>
  <si>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</si>
  <si>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</si>
  <si>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</si>
  <si>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</si>
  <si>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</si>
  <si>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</si>
  <si>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</si>
  <si>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</si>
  <si>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</si>
  <si>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</si>
  <si>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</si>
  <si>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</si>
  <si>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</si>
  <si>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</si>
  <si>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</si>
  <si>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</si>
  <si>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</si>
  <si>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</si>
  <si>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</si>
  <si>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</si>
  <si>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</si>
  <si>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</si>
  <si>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</si>
  <si>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</si>
  <si>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</si>
  <si>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</si>
  <si>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</si>
  <si>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</si>
  <si>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</si>
  <si>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</si>
  <si>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</si>
  <si>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</si>
  <si>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</si>
  <si>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</si>
  <si>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</si>
  <si>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</si>
  <si>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</si>
  <si>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</si>
  <si>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</si>
  <si>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</si>
  <si>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</si>
  <si>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</si>
  <si>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</si>
  <si>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</si>
  <si>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</si>
  <si>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</si>
  <si>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</si>
  <si>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</si>
  <si>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</si>
  <si>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</si>
  <si>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</si>
  <si>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</si>
  <si>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</si>
  <si>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</si>
  <si>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</si>
  <si>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</si>
  <si>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</si>
  <si>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</si>
  <si>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</si>
  <si>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</si>
  <si>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</si>
  <si>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</si>
  <si>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</si>
  <si>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</si>
  <si>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</si>
  <si>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</si>
  <si>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</si>
  <si>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</si>
  <si>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</si>
  <si>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</si>
  <si>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</si>
  <si>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</si>
  <si>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</si>
  <si>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</si>
  <si>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</si>
  <si>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</si>
  <si>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</si>
  <si>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</si>
  <si>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</si>
  <si>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</si>
  <si>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</si>
  <si>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</si>
  <si>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</si>
  <si>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</si>
  <si>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</si>
  <si>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</si>
  <si>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</si>
  <si>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</si>
  <si>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</si>
  <si>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</si>
  <si>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</si>
  <si>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</si>
  <si>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</si>
  <si>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</si>
  <si>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</si>
  <si>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</si>
  <si>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</si>
  <si>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</si>
  <si>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</si>
  <si>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</si>
  <si>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</si>
  <si>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</si>
  <si>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</si>
  <si>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</si>
  <si>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</si>
  <si>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</si>
  <si>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</si>
  <si>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</si>
  <si>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</si>
  <si>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</si>
  <si>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</si>
  <si>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</si>
  <si>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</si>
  <si>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</si>
  <si>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</si>
  <si>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</si>
  <si>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</si>
  <si>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</si>
  <si>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</si>
  <si>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</si>
  <si>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</si>
  <si>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</si>
  <si>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</si>
  <si>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</si>
  <si>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</si>
  <si>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</si>
  <si>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</si>
  <si>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</si>
  <si>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</si>
  <si>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</si>
  <si>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</si>
  <si>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</si>
  <si>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</si>
  <si>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</si>
  <si>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</si>
  <si>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</si>
  <si>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</si>
  <si>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</si>
  <si>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</si>
  <si>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</si>
  <si>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</si>
  <si>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</si>
  <si>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</si>
  <si>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</si>
  <si>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</si>
  <si>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</si>
  <si>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</si>
  <si>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</si>
  <si>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</si>
  <si>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</si>
  <si>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</si>
  <si>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</si>
  <si>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</si>
  <si>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</si>
  <si>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</si>
  <si>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</si>
  <si>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</si>
  <si>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</si>
  <si>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</si>
  <si>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</si>
  <si>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</si>
  <si>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</si>
  <si>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</si>
  <si>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</si>
  <si>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</si>
  <si>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</si>
  <si>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</si>
  <si>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</si>
  <si>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</si>
  <si>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</si>
  <si>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</si>
  <si>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</si>
  <si>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</si>
  <si>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</si>
  <si>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</si>
  <si>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</si>
  <si>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</si>
  <si>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</si>
  <si>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</si>
  <si>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</si>
  <si>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</si>
  <si>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</si>
  <si>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</si>
  <si>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</si>
  <si>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</si>
  <si>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</si>
  <si>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</si>
  <si>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</si>
  <si>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</si>
  <si>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</si>
  <si>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</si>
  <si>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</si>
  <si>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</si>
  <si>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</si>
  <si>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</si>
  <si>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</si>
  <si>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</si>
  <si>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</si>
  <si>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</si>
  <si>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</si>
  <si>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</si>
  <si>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</si>
  <si>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</si>
  <si>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</si>
  <si>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</si>
  <si>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</si>
  <si>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</si>
  <si>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</si>
  <si>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</si>
  <si>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</si>
  <si>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</si>
  <si>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</si>
  <si>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</si>
  <si>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</si>
  <si>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</si>
  <si>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</si>
  <si>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</si>
  <si>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</si>
  <si>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</si>
  <si>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</si>
  <si>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</si>
  <si>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</si>
  <si>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</si>
  <si>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</si>
  <si>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</si>
  <si>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</si>
  <si>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</si>
  <si>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</si>
  <si>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</si>
  <si>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</si>
  <si>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</si>
  <si>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</si>
  <si>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</si>
  <si>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</si>
  <si>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</si>
  <si>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</si>
  <si>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</si>
  <si>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</si>
  <si>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</si>
  <si>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</si>
  <si>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</si>
  <si>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</si>
  <si>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</si>
  <si>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</si>
  <si>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</si>
  <si>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</si>
  <si>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</si>
  <si>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</si>
  <si>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</si>
  <si>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</si>
  <si>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</si>
  <si>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</si>
  <si>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</si>
  <si>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</si>
  <si>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</si>
  <si>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</si>
  <si>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</si>
  <si>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</si>
  <si>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</si>
  <si>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</si>
  <si>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</si>
  <si>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</si>
  <si>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</si>
  <si>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</si>
  <si>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</si>
  <si>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</si>
  <si>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</si>
  <si>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</si>
  <si>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</si>
  <si>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</si>
  <si>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</si>
  <si>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</si>
  <si>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</si>
  <si>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</si>
  <si>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</si>
  <si>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</si>
  <si>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</si>
  <si>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</si>
  <si>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</si>
  <si>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</si>
  <si>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</si>
  <si>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</si>
  <si>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</si>
  <si>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</si>
  <si>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</si>
  <si>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</si>
  <si>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</si>
  <si>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</si>
  <si>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</si>
  <si>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</si>
  <si>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</si>
  <si>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</si>
  <si>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</si>
  <si>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</si>
  <si>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</si>
  <si>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</si>
  <si>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</si>
  <si>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</si>
  <si>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</si>
  <si>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</si>
  <si>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</si>
  <si>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</si>
  <si>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</si>
  <si>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</si>
  <si>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</si>
  <si>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</si>
  <si>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</si>
  <si>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</si>
  <si>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</si>
  <si>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</si>
  <si>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</si>
  <si>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</si>
  <si>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</si>
  <si>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</si>
  <si>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</si>
  <si>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</si>
  <si>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</si>
  <si>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</si>
  <si>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</si>
  <si>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</si>
  <si>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</si>
  <si>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</si>
  <si>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</si>
  <si>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</si>
  <si>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</si>
  <si>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</si>
  <si>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</si>
  <si>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</si>
  <si>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</si>
  <si>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</si>
  <si>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</si>
  <si>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</si>
  <si>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</si>
  <si>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</si>
  <si>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</si>
  <si>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</si>
  <si>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</si>
  <si>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</si>
  <si>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</si>
  <si>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</si>
  <si>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</si>
  <si>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</si>
  <si>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</si>
  <si>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</si>
  <si>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</si>
  <si>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</si>
  <si>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</si>
  <si>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</si>
  <si>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</si>
  <si>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</si>
  <si>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</si>
  <si>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</si>
  <si>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</si>
  <si>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</si>
  <si>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</si>
  <si>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</si>
  <si>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</si>
  <si>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</si>
  <si>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</si>
  <si>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</si>
  <si>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</si>
  <si>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</si>
  <si>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</si>
  <si>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</si>
  <si>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</si>
  <si>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</si>
  <si>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</si>
  <si>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</si>
  <si>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</si>
  <si>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</si>
  <si>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</si>
  <si>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</si>
  <si>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</si>
  <si>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</si>
  <si>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</si>
  <si>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</si>
  <si>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</si>
  <si>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</si>
  <si>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</si>
  <si>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</si>
  <si>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</si>
  <si>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</si>
  <si>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</si>
  <si>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</si>
  <si>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</si>
  <si>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</si>
  <si>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</si>
  <si>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</si>
  <si>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</si>
  <si>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</si>
  <si>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</si>
  <si>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</si>
  <si>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</si>
  <si>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</si>
  <si>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</si>
  <si>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</si>
  <si>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</si>
  <si>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</si>
  <si>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</si>
  <si>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</si>
  <si>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</si>
  <si>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</si>
  <si>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</si>
  <si>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</si>
  <si>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</si>
  <si>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</si>
  <si>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</si>
  <si>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</si>
  <si>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</si>
  <si>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</si>
  <si>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</si>
  <si>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</si>
  <si>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</si>
  <si>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</si>
  <si>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</si>
  <si>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</si>
  <si>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</si>
  <si>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</si>
  <si>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</si>
  <si>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</si>
  <si>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</si>
  <si>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</si>
  <si>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</si>
  <si>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</si>
  <si>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</si>
  <si>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</si>
  <si>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</si>
  <si>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</si>
  <si>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</si>
  <si>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</si>
  <si>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</si>
  <si>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</si>
  <si>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</si>
  <si>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</si>
  <si>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</si>
  <si>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</si>
  <si>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</si>
  <si>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</si>
  <si>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</si>
  <si>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</si>
  <si>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</si>
  <si>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</si>
  <si>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</si>
  <si>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</si>
  <si>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</si>
  <si>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</si>
  <si>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</si>
  <si>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</si>
  <si>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</si>
  <si>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</si>
  <si>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</si>
  <si>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</si>
  <si>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</si>
  <si>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</si>
  <si>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</si>
  <si>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</si>
  <si>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</si>
  <si>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</si>
  <si>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</si>
  <si>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</si>
  <si>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</si>
  <si>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</si>
  <si>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</si>
  <si>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</si>
  <si>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</si>
  <si>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</si>
  <si>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</si>
  <si>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</si>
  <si>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</si>
  <si>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</si>
  <si>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</si>
  <si>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</si>
  <si>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23104</t>
  </si>
  <si>
    <t>LENNIK</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</si>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</sst>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FBED478-58EF-4DA2-BCDA-0F893B3336B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79397.102426175363</c:v>
                </c:pt>
                <c:pt idx="1">
                  <c:v>18178.470906610411</c:v>
                </c:pt>
                <c:pt idx="2">
                  <c:v>604.96</c:v>
                </c:pt>
                <c:pt idx="3">
                  <c:v>6948.2534531234642</c:v>
                </c:pt>
                <c:pt idx="4">
                  <c:v>4585.7224409857135</c:v>
                </c:pt>
                <c:pt idx="5">
                  <c:v>94171.003210650772</c:v>
                </c:pt>
                <c:pt idx="6">
                  <c:v>1872.9017700691641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79397.102426175363</c:v>
                </c:pt>
                <c:pt idx="1">
                  <c:v>18178.470906610411</c:v>
                </c:pt>
                <c:pt idx="2">
                  <c:v>604.96</c:v>
                </c:pt>
                <c:pt idx="3">
                  <c:v>6948.2534531234642</c:v>
                </c:pt>
                <c:pt idx="4">
                  <c:v>4585.7224409857135</c:v>
                </c:pt>
                <c:pt idx="5">
                  <c:v>94171.003210650772</c:v>
                </c:pt>
                <c:pt idx="6">
                  <c:v>1872.9017700691641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17170.549224076254</c:v>
                </c:pt>
                <c:pt idx="2">
                  <c:v>3769.4317610842113</c:v>
                </c:pt>
                <c:pt idx="3">
                  <c:v>126.21201016861681</c:v>
                </c:pt>
                <c:pt idx="4">
                  <c:v>1640.8134390745877</c:v>
                </c:pt>
                <c:pt idx="5">
                  <c:v>987.29626188764769</c:v>
                </c:pt>
                <c:pt idx="6">
                  <c:v>24052.336471790662</c:v>
                </c:pt>
                <c:pt idx="7">
                  <c:v>484.41774560763889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17170.549224076254</c:v>
                </c:pt>
                <c:pt idx="2">
                  <c:v>3769.4317610842113</c:v>
                </c:pt>
                <c:pt idx="3">
                  <c:v>126.21201016861681</c:v>
                </c:pt>
                <c:pt idx="4">
                  <c:v>1640.8134390745877</c:v>
                </c:pt>
                <c:pt idx="5">
                  <c:v>987.29626188764769</c:v>
                </c:pt>
                <c:pt idx="6">
                  <c:v>24052.336471790662</c:v>
                </c:pt>
                <c:pt idx="7">
                  <c:v>484.41774560763889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23104</v>
      </c>
      <c r="B6" s="380"/>
      <c r="C6" s="381"/>
    </row>
    <row r="7" spans="1:7" s="378" customFormat="1" ht="15.75" customHeight="1">
      <c r="A7" s="382" t="str">
        <f>txtMunicipality</f>
        <v>LENNIK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0.20862868647285243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0.20862868647285243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3527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1833.37</v>
      </c>
      <c r="C14" s="322"/>
      <c r="D14" s="322"/>
      <c r="E14" s="322"/>
      <c r="F14" s="322"/>
    </row>
    <row r="15" spans="1:6">
      <c r="A15" s="1248" t="s">
        <v>177</v>
      </c>
      <c r="B15" s="1249">
        <v>15</v>
      </c>
      <c r="C15" s="322"/>
      <c r="D15" s="322"/>
      <c r="E15" s="322"/>
      <c r="F15" s="322"/>
    </row>
    <row r="16" spans="1:6">
      <c r="A16" s="1248" t="s">
        <v>6</v>
      </c>
      <c r="B16" s="1249">
        <v>562</v>
      </c>
      <c r="C16" s="322"/>
      <c r="D16" s="322"/>
      <c r="E16" s="322"/>
      <c r="F16" s="322"/>
    </row>
    <row r="17" spans="1:6">
      <c r="A17" s="1248" t="s">
        <v>7</v>
      </c>
      <c r="B17" s="1249">
        <v>619</v>
      </c>
      <c r="C17" s="322"/>
      <c r="D17" s="322"/>
      <c r="E17" s="322"/>
      <c r="F17" s="322"/>
    </row>
    <row r="18" spans="1:6">
      <c r="A18" s="1248" t="s">
        <v>8</v>
      </c>
      <c r="B18" s="1249">
        <v>762</v>
      </c>
      <c r="C18" s="322"/>
      <c r="D18" s="322"/>
      <c r="E18" s="322"/>
      <c r="F18" s="322"/>
    </row>
    <row r="19" spans="1:6">
      <c r="A19" s="1248" t="s">
        <v>9</v>
      </c>
      <c r="B19" s="1249">
        <v>614</v>
      </c>
      <c r="C19" s="322"/>
      <c r="D19" s="322"/>
      <c r="E19" s="322"/>
      <c r="F19" s="322"/>
    </row>
    <row r="20" spans="1:6">
      <c r="A20" s="1248" t="s">
        <v>10</v>
      </c>
      <c r="B20" s="1249">
        <v>545</v>
      </c>
      <c r="C20" s="322"/>
      <c r="D20" s="322"/>
      <c r="E20" s="322"/>
      <c r="F20" s="322"/>
    </row>
    <row r="21" spans="1:6">
      <c r="A21" s="1248" t="s">
        <v>11</v>
      </c>
      <c r="B21" s="1249">
        <v>0</v>
      </c>
      <c r="C21" s="322"/>
      <c r="D21" s="322"/>
      <c r="E21" s="322"/>
      <c r="F21" s="322"/>
    </row>
    <row r="22" spans="1:6">
      <c r="A22" s="1248" t="s">
        <v>12</v>
      </c>
      <c r="B22" s="1249">
        <v>8</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468</v>
      </c>
      <c r="C26" s="322"/>
      <c r="D26" s="322"/>
      <c r="E26" s="322"/>
      <c r="F26" s="322"/>
    </row>
    <row r="27" spans="1:6">
      <c r="A27" s="1248" t="s">
        <v>17</v>
      </c>
      <c r="B27" s="1249">
        <v>6</v>
      </c>
      <c r="C27" s="322"/>
      <c r="D27" s="322"/>
      <c r="E27" s="322"/>
      <c r="F27" s="322"/>
    </row>
    <row r="28" spans="1:6">
      <c r="A28" s="1248" t="s">
        <v>18</v>
      </c>
      <c r="B28" s="1250">
        <v>11462</v>
      </c>
      <c r="C28" s="322"/>
      <c r="D28" s="322"/>
      <c r="E28" s="322"/>
      <c r="F28" s="322"/>
    </row>
    <row r="29" spans="1:6">
      <c r="A29" s="1248" t="s">
        <v>884</v>
      </c>
      <c r="B29" s="1250">
        <v>146</v>
      </c>
      <c r="C29" s="322"/>
      <c r="D29" s="322"/>
      <c r="E29" s="322"/>
      <c r="F29" s="322"/>
    </row>
    <row r="30" spans="1:6">
      <c r="A30" s="1243" t="s">
        <v>885</v>
      </c>
      <c r="B30" s="1251">
        <v>19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1425</v>
      </c>
      <c r="D39" s="1249">
        <v>26014380.609999999</v>
      </c>
      <c r="E39" s="1249">
        <v>3419</v>
      </c>
      <c r="F39" s="1249">
        <v>16410530.713</v>
      </c>
    </row>
    <row r="40" spans="1:6">
      <c r="A40" s="1248" t="s">
        <v>29</v>
      </c>
      <c r="B40" s="1248" t="s">
        <v>28</v>
      </c>
      <c r="C40" s="1249">
        <v>0</v>
      </c>
      <c r="D40" s="1249">
        <v>0</v>
      </c>
      <c r="E40" s="1249">
        <v>0</v>
      </c>
      <c r="F40" s="1249">
        <v>6693</v>
      </c>
    </row>
    <row r="41" spans="1:6">
      <c r="A41" s="1248" t="s">
        <v>31</v>
      </c>
      <c r="B41" s="1248" t="s">
        <v>32</v>
      </c>
      <c r="C41" s="1249">
        <v>25</v>
      </c>
      <c r="D41" s="1249">
        <v>539214.58854000003</v>
      </c>
      <c r="E41" s="1249">
        <v>100</v>
      </c>
      <c r="F41" s="1249">
        <v>911347.84510999999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19451.678295000002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9</v>
      </c>
      <c r="D48" s="1249">
        <v>205286.31005</v>
      </c>
      <c r="E48" s="1249">
        <v>27</v>
      </c>
      <c r="F48" s="1249">
        <v>1323741.3483</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70726.821739000006</v>
      </c>
    </row>
    <row r="51" spans="1:6">
      <c r="A51" s="1248" t="s">
        <v>41</v>
      </c>
      <c r="B51" s="1248" t="s">
        <v>42</v>
      </c>
      <c r="C51" s="1249">
        <v>3</v>
      </c>
      <c r="D51" s="1249">
        <v>66226.335189999998</v>
      </c>
      <c r="E51" s="1249">
        <v>61</v>
      </c>
      <c r="F51" s="1249">
        <v>810898.97785999998</v>
      </c>
    </row>
    <row r="52" spans="1:6">
      <c r="A52" s="1248" t="s">
        <v>41</v>
      </c>
      <c r="B52" s="1248" t="s">
        <v>28</v>
      </c>
      <c r="C52" s="1249">
        <v>4</v>
      </c>
      <c r="D52" s="1249">
        <v>2720570.3766000001</v>
      </c>
      <c r="E52" s="1249">
        <v>8</v>
      </c>
      <c r="F52" s="1249">
        <v>80665.707907999997</v>
      </c>
    </row>
    <row r="53" spans="1:6">
      <c r="A53" s="1248" t="s">
        <v>43</v>
      </c>
      <c r="B53" s="1248" t="s">
        <v>44</v>
      </c>
      <c r="C53" s="1249">
        <v>40</v>
      </c>
      <c r="D53" s="1249">
        <v>987023.40440999996</v>
      </c>
      <c r="E53" s="1249">
        <v>109</v>
      </c>
      <c r="F53" s="1249">
        <v>532700.04362000001</v>
      </c>
    </row>
    <row r="54" spans="1:6">
      <c r="A54" s="1248" t="s">
        <v>45</v>
      </c>
      <c r="B54" s="1248" t="s">
        <v>46</v>
      </c>
      <c r="C54" s="1249">
        <v>0</v>
      </c>
      <c r="D54" s="1249">
        <v>0</v>
      </c>
      <c r="E54" s="1249">
        <v>1</v>
      </c>
      <c r="F54" s="1249">
        <v>604960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364853.09330000001</v>
      </c>
      <c r="E57" s="1249">
        <v>37</v>
      </c>
      <c r="F57" s="1249">
        <v>381780.84457000002</v>
      </c>
    </row>
    <row r="58" spans="1:6">
      <c r="A58" s="1248" t="s">
        <v>48</v>
      </c>
      <c r="B58" s="1248" t="s">
        <v>50</v>
      </c>
      <c r="C58" s="1249">
        <v>18</v>
      </c>
      <c r="D58" s="1249">
        <v>646029.15937000001</v>
      </c>
      <c r="E58" s="1249">
        <v>28</v>
      </c>
      <c r="F58" s="1249">
        <v>748300.00720999995</v>
      </c>
    </row>
    <row r="59" spans="1:6">
      <c r="A59" s="1248" t="s">
        <v>48</v>
      </c>
      <c r="B59" s="1248" t="s">
        <v>51</v>
      </c>
      <c r="C59" s="1249">
        <v>27</v>
      </c>
      <c r="D59" s="1249">
        <v>1160215.8141000001</v>
      </c>
      <c r="E59" s="1249">
        <v>96</v>
      </c>
      <c r="F59" s="1249">
        <v>2399303.3536</v>
      </c>
    </row>
    <row r="60" spans="1:6">
      <c r="A60" s="1248" t="s">
        <v>48</v>
      </c>
      <c r="B60" s="1248" t="s">
        <v>52</v>
      </c>
      <c r="C60" s="1249">
        <v>20</v>
      </c>
      <c r="D60" s="1249">
        <v>713553.80830000003</v>
      </c>
      <c r="E60" s="1249">
        <v>42</v>
      </c>
      <c r="F60" s="1249">
        <v>852699.32733</v>
      </c>
    </row>
    <row r="61" spans="1:6">
      <c r="A61" s="1248" t="s">
        <v>48</v>
      </c>
      <c r="B61" s="1248" t="s">
        <v>53</v>
      </c>
      <c r="C61" s="1249">
        <v>59</v>
      </c>
      <c r="D61" s="1249">
        <v>2652436.736</v>
      </c>
      <c r="E61" s="1249">
        <v>127</v>
      </c>
      <c r="F61" s="1249">
        <v>1322616.5155</v>
      </c>
    </row>
    <row r="62" spans="1:6">
      <c r="A62" s="1248" t="s">
        <v>48</v>
      </c>
      <c r="B62" s="1248" t="s">
        <v>54</v>
      </c>
      <c r="C62" s="1249">
        <v>7</v>
      </c>
      <c r="D62" s="1249">
        <v>582935.67833000002</v>
      </c>
      <c r="E62" s="1249">
        <v>10</v>
      </c>
      <c r="F62" s="1249">
        <v>964909.15261999995</v>
      </c>
    </row>
    <row r="63" spans="1:6">
      <c r="A63" s="1248" t="s">
        <v>48</v>
      </c>
      <c r="B63" s="1248" t="s">
        <v>28</v>
      </c>
      <c r="C63" s="1249">
        <v>64</v>
      </c>
      <c r="D63" s="1249">
        <v>3012188.0038000001</v>
      </c>
      <c r="E63" s="1249">
        <v>80</v>
      </c>
      <c r="F63" s="1249">
        <v>1347575.4232000001</v>
      </c>
    </row>
    <row r="64" spans="1:6">
      <c r="A64" s="1248" t="s">
        <v>55</v>
      </c>
      <c r="B64" s="1248" t="s">
        <v>56</v>
      </c>
      <c r="C64" s="1249">
        <v>0</v>
      </c>
      <c r="D64" s="1249">
        <v>0</v>
      </c>
      <c r="E64" s="1249">
        <v>0</v>
      </c>
      <c r="F64" s="1249">
        <v>0</v>
      </c>
    </row>
    <row r="65" spans="1:6">
      <c r="A65" s="1248" t="s">
        <v>55</v>
      </c>
      <c r="B65" s="1248" t="s">
        <v>28</v>
      </c>
      <c r="C65" s="1249">
        <v>2</v>
      </c>
      <c r="D65" s="1249">
        <v>24517.621712</v>
      </c>
      <c r="E65" s="1249">
        <v>0</v>
      </c>
      <c r="F65" s="1249">
        <v>0</v>
      </c>
    </row>
    <row r="66" spans="1:6">
      <c r="A66" s="1248" t="s">
        <v>55</v>
      </c>
      <c r="B66" s="1248" t="s">
        <v>57</v>
      </c>
      <c r="C66" s="1249">
        <v>0</v>
      </c>
      <c r="D66" s="1249">
        <v>0</v>
      </c>
      <c r="E66" s="1249">
        <v>13</v>
      </c>
      <c r="F66" s="1249">
        <v>271583</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53119.216278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54214343</v>
      </c>
      <c r="E73" s="439"/>
      <c r="F73" s="322"/>
    </row>
    <row r="74" spans="1:6">
      <c r="A74" s="1248" t="s">
        <v>63</v>
      </c>
      <c r="B74" s="1248" t="s">
        <v>626</v>
      </c>
      <c r="C74" s="1261" t="s">
        <v>628</v>
      </c>
      <c r="D74" s="1249">
        <v>3058999.5686360504</v>
      </c>
      <c r="E74" s="439"/>
      <c r="F74" s="322"/>
    </row>
    <row r="75" spans="1:6">
      <c r="A75" s="1248" t="s">
        <v>64</v>
      </c>
      <c r="B75" s="1248" t="s">
        <v>625</v>
      </c>
      <c r="C75" s="1261" t="s">
        <v>629</v>
      </c>
      <c r="D75" s="1249">
        <v>50780406</v>
      </c>
      <c r="E75" s="439"/>
      <c r="F75" s="322"/>
    </row>
    <row r="76" spans="1:6">
      <c r="A76" s="1248" t="s">
        <v>64</v>
      </c>
      <c r="B76" s="1248" t="s">
        <v>626</v>
      </c>
      <c r="C76" s="1261" t="s">
        <v>630</v>
      </c>
      <c r="D76" s="1249">
        <v>1570038.5686360504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506554.86272789922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1546.9749925970063</v>
      </c>
      <c r="C91" s="322"/>
      <c r="D91" s="322"/>
      <c r="E91" s="322"/>
      <c r="F91" s="322"/>
    </row>
    <row r="92" spans="1:6">
      <c r="A92" s="1243" t="s">
        <v>68</v>
      </c>
      <c r="B92" s="1244">
        <v>109.6404692560983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622</v>
      </c>
      <c r="C97" s="322"/>
      <c r="D97" s="322"/>
      <c r="E97" s="322"/>
      <c r="F97" s="322"/>
    </row>
    <row r="98" spans="1:6">
      <c r="A98" s="1248" t="s">
        <v>71</v>
      </c>
      <c r="B98" s="1249">
        <v>2</v>
      </c>
      <c r="C98" s="322"/>
      <c r="D98" s="322"/>
      <c r="E98" s="322"/>
      <c r="F98" s="322"/>
    </row>
    <row r="99" spans="1:6">
      <c r="A99" s="1248" t="s">
        <v>72</v>
      </c>
      <c r="B99" s="1249">
        <v>79</v>
      </c>
      <c r="C99" s="322"/>
      <c r="D99" s="322"/>
      <c r="E99" s="322"/>
      <c r="F99" s="322"/>
    </row>
    <row r="100" spans="1:6">
      <c r="A100" s="1248" t="s">
        <v>73</v>
      </c>
      <c r="B100" s="1249">
        <v>385</v>
      </c>
      <c r="C100" s="322"/>
      <c r="D100" s="322"/>
      <c r="E100" s="322"/>
      <c r="F100" s="322"/>
    </row>
    <row r="101" spans="1:6">
      <c r="A101" s="1248" t="s">
        <v>74</v>
      </c>
      <c r="B101" s="1249">
        <v>43</v>
      </c>
      <c r="C101" s="322"/>
      <c r="D101" s="322"/>
      <c r="E101" s="322"/>
      <c r="F101" s="322"/>
    </row>
    <row r="102" spans="1:6">
      <c r="A102" s="1248" t="s">
        <v>75</v>
      </c>
      <c r="B102" s="1249">
        <v>42</v>
      </c>
      <c r="C102" s="322"/>
      <c r="D102" s="322"/>
      <c r="E102" s="322"/>
      <c r="F102" s="322"/>
    </row>
    <row r="103" spans="1:6">
      <c r="A103" s="1248" t="s">
        <v>76</v>
      </c>
      <c r="B103" s="1249">
        <v>96</v>
      </c>
      <c r="C103" s="322"/>
      <c r="D103" s="322"/>
      <c r="E103" s="322"/>
      <c r="F103" s="322"/>
    </row>
    <row r="104" spans="1:6">
      <c r="A104" s="1248" t="s">
        <v>77</v>
      </c>
      <c r="B104" s="1249">
        <v>2009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11</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61</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30373.384866932109</v>
      </c>
      <c r="C3" s="43" t="s">
        <v>163</v>
      </c>
      <c r="D3" s="43"/>
      <c r="E3" s="153"/>
      <c r="F3" s="43"/>
      <c r="G3" s="43"/>
      <c r="H3" s="43"/>
      <c r="I3" s="43"/>
      <c r="J3" s="43"/>
      <c r="K3" s="96"/>
    </row>
    <row r="4" spans="1:11">
      <c r="A4" s="348" t="s">
        <v>164</v>
      </c>
      <c r="B4" s="49">
        <f>IF(ISERROR('SEAP template'!B78+'SEAP template'!C78),0,'SEAP template'!B78+'SEAP template'!C78)</f>
        <v>1700.2654618531046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0.20862868647285243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604.96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604.96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0.20862868647285243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126.21201016861681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16417.223712999999</v>
      </c>
      <c r="C5" s="17">
        <f>IF(ISERROR('Eigen informatie GS &amp; warmtenet'!B57),0,'Eigen informatie GS &amp; warmtenet'!B57)</f>
        <v>0</v>
      </c>
      <c r="D5" s="30">
        <f>(SUM(HH_hh_gas_kWh,HH_rest_gas_kWh)/1000)*0.902</f>
        <v>23464.97131022</v>
      </c>
      <c r="E5" s="17">
        <f>B32*B41</f>
        <v>1132.9753065454722</v>
      </c>
      <c r="F5" s="17">
        <f>B36*B45</f>
        <v>30803.356005777649</v>
      </c>
      <c r="G5" s="18"/>
      <c r="H5" s="17"/>
      <c r="I5" s="17"/>
      <c r="J5" s="17">
        <f>B35*B44+C35*C44</f>
        <v>568.06890338232517</v>
      </c>
      <c r="K5" s="17"/>
      <c r="L5" s="17"/>
      <c r="M5" s="17"/>
      <c r="N5" s="17">
        <f>B34*B43+C34*C43</f>
        <v>4931.5055279862627</v>
      </c>
      <c r="O5" s="17">
        <f>B52*B53*B54</f>
        <v>112.56000000000002</v>
      </c>
      <c r="P5" s="17">
        <f>B60*B61*B62/1000-B60*B61*B62/1000/B63</f>
        <v>419.4666666666667</v>
      </c>
    </row>
    <row r="6" spans="1:16">
      <c r="A6" s="16" t="s">
        <v>586</v>
      </c>
      <c r="B6" s="716">
        <f>kWh_PV_kleiner_dan_10kW</f>
        <v>1546.9749925970063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17964.198705597006</v>
      </c>
      <c r="C8" s="21">
        <f>C5</f>
        <v>0</v>
      </c>
      <c r="D8" s="21">
        <f>D5</f>
        <v>23464.97131022</v>
      </c>
      <c r="E8" s="21">
        <f>E5</f>
        <v>1132.9753065454722</v>
      </c>
      <c r="F8" s="21">
        <f>F5</f>
        <v>30803.356005777649</v>
      </c>
      <c r="G8" s="21"/>
      <c r="H8" s="21"/>
      <c r="I8" s="21"/>
      <c r="J8" s="21">
        <f>J5</f>
        <v>568.06890338232517</v>
      </c>
      <c r="K8" s="21"/>
      <c r="L8" s="21">
        <f>L5</f>
        <v>0</v>
      </c>
      <c r="M8" s="21">
        <f>M5</f>
        <v>0</v>
      </c>
      <c r="N8" s="21">
        <f>N5</f>
        <v>4931.5055279862627</v>
      </c>
      <c r="O8" s="21">
        <f>O5</f>
        <v>112.56000000000002</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0.20862868647285243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3747.8471794860193</v>
      </c>
      <c r="C12" s="23">
        <f ca="1">C10*C8</f>
        <v>0</v>
      </c>
      <c r="D12" s="23">
        <f>D8*D10</f>
        <v>4739.9242046644404</v>
      </c>
      <c r="E12" s="23">
        <f>E10*E8</f>
        <v>257.18539458582222</v>
      </c>
      <c r="F12" s="23">
        <f>F10*F8</f>
        <v>8224.4960535426326</v>
      </c>
      <c r="G12" s="23"/>
      <c r="H12" s="23"/>
      <c r="I12" s="23"/>
      <c r="J12" s="23">
        <f>J10*J8</f>
        <v>201.0963917973431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3527</v>
      </c>
      <c r="C26" s="36"/>
      <c r="D26" s="224"/>
    </row>
    <row r="27" spans="1:5" s="15" customFormat="1">
      <c r="A27" s="226" t="s">
        <v>655</v>
      </c>
      <c r="B27" s="37">
        <f>SUM(HH_hh_gas_aantal,HH_rest_gas_aantal)</f>
        <v>1425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1353.75</v>
      </c>
      <c r="C31" s="34" t="s">
        <v>104</v>
      </c>
      <c r="D31" s="170"/>
    </row>
    <row r="32" spans="1:5">
      <c r="A32" s="167" t="s">
        <v>72</v>
      </c>
      <c r="B32" s="33">
        <f>IF((B21*($B$26-($B$27-0.05*$B$27)-$B$60))&lt;0,0,B21*($B$26-($B$27-0.05*$B$27)-$B$60))</f>
        <v>13.882934470609841</v>
      </c>
      <c r="C32" s="34" t="s">
        <v>104</v>
      </c>
      <c r="D32" s="170"/>
    </row>
    <row r="33" spans="1:6">
      <c r="A33" s="167" t="s">
        <v>73</v>
      </c>
      <c r="B33" s="33">
        <f>IF((B22*($B$26-($B$27-0.05*$B$27)-$B$60))&lt;0,0,B22*($B$26-($B$27-0.05*$B$27)-$B$60))</f>
        <v>483.45421100399903</v>
      </c>
      <c r="C33" s="34" t="s">
        <v>104</v>
      </c>
      <c r="D33" s="170"/>
    </row>
    <row r="34" spans="1:6">
      <c r="A34" s="167" t="s">
        <v>74</v>
      </c>
      <c r="B34" s="33">
        <f>IF((B24*($B$26-($B$27-0.05*$B$27)-$B$60))&lt;0,0,B24*($B$26-($B$27-0.05*$B$27)-$B$60))</f>
        <v>96.004099540978714</v>
      </c>
      <c r="C34" s="33">
        <f>B26*C24</f>
        <v>721.84407458609292</v>
      </c>
      <c r="D34" s="229"/>
    </row>
    <row r="35" spans="1:6">
      <c r="A35" s="167" t="s">
        <v>76</v>
      </c>
      <c r="B35" s="33">
        <f>IF((B19*($B$26-($B$27-0.05*$B$27)-$B$60))&lt;0,0,B19*($B$26-($B$27-0.05*$B$27)-$B$60))</f>
        <v>46.883637960080044</v>
      </c>
      <c r="C35" s="33">
        <f>B35/2</f>
        <v>23.441818980040022</v>
      </c>
      <c r="D35" s="229"/>
    </row>
    <row r="36" spans="1:6">
      <c r="A36" s="167" t="s">
        <v>77</v>
      </c>
      <c r="B36" s="33">
        <f>IF((B18*($B$26-($B$27-0.05*$B$27)-$B$60))&lt;0,0,B18*($B$26-($B$27-0.05*$B$27)-$B$60))</f>
        <v>1511.025117024333</v>
      </c>
      <c r="C36" s="34" t="s">
        <v>104</v>
      </c>
      <c r="D36" s="170"/>
    </row>
    <row r="37" spans="1:6">
      <c r="A37" s="167" t="s">
        <v>78</v>
      </c>
      <c r="B37" s="33">
        <f>B60</f>
        <v>22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8017.1846240300001</v>
      </c>
      <c r="C5" s="17">
        <f>IF(ISERROR('Eigen informatie GS &amp; warmtenet'!B58),0,'Eigen informatie GS &amp; warmtenet'!B58)</f>
        <v>0</v>
      </c>
      <c r="D5" s="30">
        <f>SUM(D6:D12)</f>
        <v>8237.2554884663987</v>
      </c>
      <c r="E5" s="17">
        <f>SUM(E6:E12)</f>
        <v>125.43409942026078</v>
      </c>
      <c r="F5" s="17">
        <f>SUM(F6:F12)</f>
        <v>1514.663793612465</v>
      </c>
      <c r="G5" s="18"/>
      <c r="H5" s="17"/>
      <c r="I5" s="17"/>
      <c r="J5" s="17">
        <f>SUM(J6:J12)</f>
        <v>7.5752241324875628E-3</v>
      </c>
      <c r="K5" s="17"/>
      <c r="L5" s="17"/>
      <c r="M5" s="17"/>
      <c r="N5" s="17">
        <f>SUM(N6:N12)</f>
        <v>280.798659190487</v>
      </c>
      <c r="O5" s="17">
        <f>B38*B39*B40</f>
        <v>3.1266666666666669</v>
      </c>
      <c r="P5" s="17">
        <f>B46*B47*B48/1000-B46*B47*B48/1000/B49</f>
        <v>0</v>
      </c>
      <c r="R5" s="32"/>
    </row>
    <row r="6" spans="1:18">
      <c r="A6" s="32" t="s">
        <v>53</v>
      </c>
      <c r="B6" s="37">
        <f>B26</f>
        <v>1322.6165154999999</v>
      </c>
      <c r="C6" s="33"/>
      <c r="D6" s="37">
        <f>IF(ISERROR(TER_kantoor_gas_kWh/1000),0,TER_kantoor_gas_kWh/1000)*0.902</f>
        <v>2392.4979358720002</v>
      </c>
      <c r="E6" s="33">
        <f>$C$26*'E Balans VL '!I12/100/3.6*1000000</f>
        <v>7.5298751947314719E-19</v>
      </c>
      <c r="F6" s="33">
        <f>$C$26*('E Balans VL '!L12+'E Balans VL '!N12)/100/3.6*1000000</f>
        <v>178.79595990389191</v>
      </c>
      <c r="G6" s="34"/>
      <c r="H6" s="33"/>
      <c r="I6" s="33"/>
      <c r="J6" s="33">
        <f>$C$26*('E Balans VL '!D12+'E Balans VL '!E12)/100/3.6*1000000</f>
        <v>0</v>
      </c>
      <c r="K6" s="33"/>
      <c r="L6" s="33"/>
      <c r="M6" s="33"/>
      <c r="N6" s="33">
        <f>$C$26*'E Balans VL '!Y12/100/3.6*1000000</f>
        <v>1.6622602160260402</v>
      </c>
      <c r="O6" s="33"/>
      <c r="P6" s="33"/>
      <c r="R6" s="32"/>
    </row>
    <row r="7" spans="1:18">
      <c r="A7" s="32" t="s">
        <v>52</v>
      </c>
      <c r="B7" s="37">
        <f t="shared" ref="B7:B12" si="0">B27</f>
        <v>852.69932732999996</v>
      </c>
      <c r="C7" s="33"/>
      <c r="D7" s="37">
        <f>IF(ISERROR(TER_horeca_gas_kWh/1000),0,TER_horeca_gas_kWh/1000)*0.902</f>
        <v>643.62553508660005</v>
      </c>
      <c r="E7" s="33">
        <f>$C$27*'E Balans VL '!I9/100/3.6*1000000</f>
        <v>10.89070548967506</v>
      </c>
      <c r="F7" s="33">
        <f>$C$27*('E Balans VL '!L9+'E Balans VL '!N9)/100/3.6*1000000</f>
        <v>96.308557698416664</v>
      </c>
      <c r="G7" s="34"/>
      <c r="H7" s="33"/>
      <c r="I7" s="33"/>
      <c r="J7" s="33">
        <f>$C$27*('E Balans VL '!D9+'E Balans VL '!E9)/100/3.6*1000000</f>
        <v>0</v>
      </c>
      <c r="K7" s="33"/>
      <c r="L7" s="33"/>
      <c r="M7" s="33"/>
      <c r="N7" s="33">
        <f>$C$27*'E Balans VL '!Y9/100/3.6*1000000</f>
        <v>0.20320186920796421</v>
      </c>
      <c r="O7" s="33"/>
      <c r="P7" s="33"/>
      <c r="R7" s="32"/>
    </row>
    <row r="8" spans="1:18">
      <c r="A8" s="6" t="s">
        <v>51</v>
      </c>
      <c r="B8" s="37">
        <f t="shared" si="0"/>
        <v>2399.3033535999998</v>
      </c>
      <c r="C8" s="33"/>
      <c r="D8" s="37">
        <f>IF(ISERROR(TER_handel_gas_kWh/1000),0,TER_handel_gas_kWh/1000)*0.902</f>
        <v>1046.5146643181999</v>
      </c>
      <c r="E8" s="33">
        <f>$C$28*'E Balans VL '!I13/100/3.6*1000000</f>
        <v>78.357353185871347</v>
      </c>
      <c r="F8" s="33">
        <f>$C$28*('E Balans VL '!L13+'E Balans VL '!N13)/100/3.6*1000000</f>
        <v>415.41988095050658</v>
      </c>
      <c r="G8" s="34"/>
      <c r="H8" s="33"/>
      <c r="I8" s="33"/>
      <c r="J8" s="33">
        <f>$C$28*('E Balans VL '!D13+'E Balans VL '!E13)/100/3.6*1000000</f>
        <v>0</v>
      </c>
      <c r="K8" s="33"/>
      <c r="L8" s="33"/>
      <c r="M8" s="33"/>
      <c r="N8" s="33">
        <f>$C$28*'E Balans VL '!Y13/100/3.6*1000000</f>
        <v>2.8239134909564969</v>
      </c>
      <c r="O8" s="33"/>
      <c r="P8" s="33"/>
      <c r="R8" s="32"/>
    </row>
    <row r="9" spans="1:18">
      <c r="A9" s="32" t="s">
        <v>50</v>
      </c>
      <c r="B9" s="37">
        <f t="shared" si="0"/>
        <v>748.30000720999999</v>
      </c>
      <c r="C9" s="33"/>
      <c r="D9" s="37">
        <f>IF(ISERROR(TER_gezond_gas_kWh/1000),0,TER_gezond_gas_kWh/1000)*0.902</f>
        <v>582.71830175174</v>
      </c>
      <c r="E9" s="33">
        <f>$C$29*'E Balans VL '!I10/100/3.6*1000000</f>
        <v>4.1786952644797731E-2</v>
      </c>
      <c r="F9" s="33">
        <f>$C$29*('E Balans VL '!L10+'E Balans VL '!N10)/100/3.6*1000000</f>
        <v>99.146967173904343</v>
      </c>
      <c r="G9" s="34"/>
      <c r="H9" s="33"/>
      <c r="I9" s="33"/>
      <c r="J9" s="33">
        <f>$C$29*('E Balans VL '!D10+'E Balans VL '!E10)/100/3.6*1000000</f>
        <v>0</v>
      </c>
      <c r="K9" s="33"/>
      <c r="L9" s="33"/>
      <c r="M9" s="33"/>
      <c r="N9" s="33">
        <f>$C$29*'E Balans VL '!Y10/100/3.6*1000000</f>
        <v>7.9314771205770986</v>
      </c>
      <c r="O9" s="33"/>
      <c r="P9" s="33"/>
      <c r="R9" s="32"/>
    </row>
    <row r="10" spans="1:18">
      <c r="A10" s="32" t="s">
        <v>49</v>
      </c>
      <c r="B10" s="37">
        <f t="shared" si="0"/>
        <v>381.78084457</v>
      </c>
      <c r="C10" s="33"/>
      <c r="D10" s="37">
        <f>IF(ISERROR(TER_ander_gas_kWh/1000),0,TER_ander_gas_kWh/1000)*0.902</f>
        <v>329.09749015660003</v>
      </c>
      <c r="E10" s="33">
        <f>$C$30*'E Balans VL '!I14/100/3.6*1000000</f>
        <v>4.9300983775803378</v>
      </c>
      <c r="F10" s="33">
        <f>$C$30*('E Balans VL '!L14+'E Balans VL '!N14)/100/3.6*1000000</f>
        <v>252.00258874485971</v>
      </c>
      <c r="G10" s="34"/>
      <c r="H10" s="33"/>
      <c r="I10" s="33"/>
      <c r="J10" s="33">
        <f>$C$30*('E Balans VL '!D14+'E Balans VL '!E14)/100/3.6*1000000</f>
        <v>4.6249749859199017E-3</v>
      </c>
      <c r="K10" s="33"/>
      <c r="L10" s="33"/>
      <c r="M10" s="33"/>
      <c r="N10" s="33">
        <f>$C$30*'E Balans VL '!Y14/100/3.6*1000000</f>
        <v>160.99542770831641</v>
      </c>
      <c r="O10" s="33"/>
      <c r="P10" s="33"/>
      <c r="R10" s="32"/>
    </row>
    <row r="11" spans="1:18">
      <c r="A11" s="32" t="s">
        <v>54</v>
      </c>
      <c r="B11" s="37">
        <f t="shared" si="0"/>
        <v>964.90915261999999</v>
      </c>
      <c r="C11" s="33"/>
      <c r="D11" s="37">
        <f>IF(ISERROR(TER_onderwijs_gas_kWh/1000),0,TER_onderwijs_gas_kWh/1000)*0.902</f>
        <v>525.80798185365995</v>
      </c>
      <c r="E11" s="33">
        <f>$C$31*'E Balans VL '!I11/100/3.6*1000000</f>
        <v>12.985283487387843</v>
      </c>
      <c r="F11" s="33">
        <f>$C$31*('E Balans VL '!L11+'E Balans VL '!N11)/100/3.6*1000000</f>
        <v>150.79337235829576</v>
      </c>
      <c r="G11" s="34"/>
      <c r="H11" s="33"/>
      <c r="I11" s="33"/>
      <c r="J11" s="33">
        <f>$C$31*('E Balans VL '!D11+'E Balans VL '!E11)/100/3.6*1000000</f>
        <v>0</v>
      </c>
      <c r="K11" s="33"/>
      <c r="L11" s="33"/>
      <c r="M11" s="33"/>
      <c r="N11" s="33">
        <f>$C$31*'E Balans VL '!Y11/100/3.6*1000000</f>
        <v>2.2280209559534474</v>
      </c>
      <c r="O11" s="33"/>
      <c r="P11" s="33"/>
      <c r="R11" s="32"/>
    </row>
    <row r="12" spans="1:18">
      <c r="A12" s="32" t="s">
        <v>249</v>
      </c>
      <c r="B12" s="37">
        <f t="shared" si="0"/>
        <v>1347.5754232000002</v>
      </c>
      <c r="C12" s="33"/>
      <c r="D12" s="37">
        <f>IF(ISERROR(TER_rest_gas_kWh/1000),0,TER_rest_gas_kWh/1000)*0.902</f>
        <v>2716.9935794275998</v>
      </c>
      <c r="E12" s="33">
        <f>$C$32*'E Balans VL '!I8/100/3.6*1000000</f>
        <v>18.228871927101391</v>
      </c>
      <c r="F12" s="33">
        <f>$C$32*('E Balans VL '!L8+'E Balans VL '!N8)/100/3.6*1000000</f>
        <v>322.19646678259005</v>
      </c>
      <c r="G12" s="34"/>
      <c r="H12" s="33"/>
      <c r="I12" s="33"/>
      <c r="J12" s="33">
        <f>$C$32*('E Balans VL '!D8+'E Balans VL '!E8)/100/3.6*1000000</f>
        <v>2.9502491465676606E-3</v>
      </c>
      <c r="K12" s="33"/>
      <c r="L12" s="33"/>
      <c r="M12" s="33"/>
      <c r="N12" s="33">
        <f>$C$32*'E Balans VL '!Y8/100/3.6*1000000</f>
        <v>104.95435782944958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8017.1846240300001</v>
      </c>
      <c r="C16" s="21">
        <f t="shared" ca="1" si="1"/>
        <v>0</v>
      </c>
      <c r="D16" s="21">
        <f t="shared" ca="1" si="1"/>
        <v>8237.2554884663987</v>
      </c>
      <c r="E16" s="21">
        <f t="shared" si="1"/>
        <v>125.43409942026078</v>
      </c>
      <c r="F16" s="21">
        <f t="shared" ca="1" si="1"/>
        <v>1514.663793612465</v>
      </c>
      <c r="G16" s="21">
        <f t="shared" si="1"/>
        <v>0</v>
      </c>
      <c r="H16" s="21">
        <f t="shared" si="1"/>
        <v>0</v>
      </c>
      <c r="I16" s="21">
        <f t="shared" si="1"/>
        <v>0</v>
      </c>
      <c r="J16" s="21">
        <f t="shared" si="1"/>
        <v>7.5752241324875628E-3</v>
      </c>
      <c r="K16" s="21">
        <f t="shared" si="1"/>
        <v>0</v>
      </c>
      <c r="L16" s="21">
        <f t="shared" ca="1" si="1"/>
        <v>0</v>
      </c>
      <c r="M16" s="21">
        <f t="shared" si="1"/>
        <v>0</v>
      </c>
      <c r="N16" s="21">
        <f t="shared" ca="1" si="1"/>
        <v>280.798659190487</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0.20862868647285243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1672.6146973217283</v>
      </c>
      <c r="C20" s="23">
        <f t="shared" ref="C20:P20" ca="1" si="2">C16*C18</f>
        <v>0</v>
      </c>
      <c r="D20" s="23">
        <f t="shared" ca="1" si="2"/>
        <v>1663.9256086702126</v>
      </c>
      <c r="E20" s="23">
        <f t="shared" si="2"/>
        <v>28.473540568399198</v>
      </c>
      <c r="F20" s="23">
        <f t="shared" ca="1" si="2"/>
        <v>404.41523289452817</v>
      </c>
      <c r="G20" s="23">
        <f t="shared" si="2"/>
        <v>0</v>
      </c>
      <c r="H20" s="23">
        <f t="shared" si="2"/>
        <v>0</v>
      </c>
      <c r="I20" s="23">
        <f t="shared" si="2"/>
        <v>0</v>
      </c>
      <c r="J20" s="23">
        <f t="shared" si="2"/>
        <v>2.6816293429005973E-3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1322.6165154999999</v>
      </c>
      <c r="C26" s="39">
        <f>IF(ISERROR(B26*3.6/1000000/'E Balans VL '!Z12*100),0,B26*3.6/1000000/'E Balans VL '!Z12*100)</f>
        <v>3.5487403257290759E-2</v>
      </c>
      <c r="D26" s="232" t="s">
        <v>621</v>
      </c>
      <c r="F26" s="6"/>
    </row>
    <row r="27" spans="1:18">
      <c r="A27" s="227" t="s">
        <v>52</v>
      </c>
      <c r="B27" s="33">
        <f>IF(ISERROR(TER_horeca_ele_kWh/1000),0,TER_horeca_ele_kWh/1000)</f>
        <v>852.69932732999996</v>
      </c>
      <c r="C27" s="39">
        <f>IF(ISERROR(B27*3.6/1000000/'E Balans VL '!Z9*100),0,B27*3.6/1000000/'E Balans VL '!Z9*100)</f>
        <v>6.7741005293317585E-2</v>
      </c>
      <c r="D27" s="232" t="s">
        <v>621</v>
      </c>
      <c r="F27" s="6"/>
    </row>
    <row r="28" spans="1:18">
      <c r="A28" s="167" t="s">
        <v>51</v>
      </c>
      <c r="B28" s="33">
        <f>IF(ISERROR(TER_handel_ele_kWh/1000),0,TER_handel_ele_kWh/1000)</f>
        <v>2399.3033535999998</v>
      </c>
      <c r="C28" s="39">
        <f>IF(ISERROR(B28*3.6/1000000/'E Balans VL '!Z13*100),0,B28*3.6/1000000/'E Balans VL '!Z13*100)</f>
        <v>7.0179339353797845E-2</v>
      </c>
      <c r="D28" s="232" t="s">
        <v>621</v>
      </c>
      <c r="F28" s="6"/>
    </row>
    <row r="29" spans="1:18">
      <c r="A29" s="227" t="s">
        <v>50</v>
      </c>
      <c r="B29" s="33">
        <f>IF(ISERROR(TER_gezond_ele_kWh/1000),0,TER_gezond_ele_kWh/1000)</f>
        <v>748.30000720999999</v>
      </c>
      <c r="C29" s="39">
        <f>IF(ISERROR(B29*3.6/1000000/'E Balans VL '!Z10*100),0,B29*3.6/1000000/'E Balans VL '!Z10*100)</f>
        <v>7.9421499581831256E-2</v>
      </c>
      <c r="D29" s="232" t="s">
        <v>621</v>
      </c>
      <c r="F29" s="6"/>
    </row>
    <row r="30" spans="1:18">
      <c r="A30" s="227" t="s">
        <v>49</v>
      </c>
      <c r="B30" s="33">
        <f>IF(ISERROR(TER_ander_ele_kWh/1000),0,TER_ander_ele_kWh/1000)</f>
        <v>381.78084457</v>
      </c>
      <c r="C30" s="39">
        <f>IF(ISERROR(B30*3.6/1000000/'E Balans VL '!Z14*100),0,B30*3.6/1000000/'E Balans VL '!Z14*100)</f>
        <v>1.7758009758224877E-2</v>
      </c>
      <c r="D30" s="232" t="s">
        <v>621</v>
      </c>
      <c r="F30" s="6"/>
    </row>
    <row r="31" spans="1:18">
      <c r="A31" s="227" t="s">
        <v>54</v>
      </c>
      <c r="B31" s="33">
        <f>IF(ISERROR(TER_onderwijs_ele_kWh/1000),0,TER_onderwijs_ele_kWh/1000)</f>
        <v>964.90915261999999</v>
      </c>
      <c r="C31" s="39">
        <f>IF(ISERROR(B31*3.6/1000000/'E Balans VL '!Z11*100),0,B31*3.6/1000000/'E Balans VL '!Z11*100)</f>
        <v>0.24149676247298243</v>
      </c>
      <c r="D31" s="232" t="s">
        <v>621</v>
      </c>
    </row>
    <row r="32" spans="1:18">
      <c r="A32" s="227" t="s">
        <v>249</v>
      </c>
      <c r="B32" s="33">
        <f>IF(ISERROR(TER_rest_ele_kWh/1000),0,TER_rest_ele_kWh/1000)</f>
        <v>1347.5754232000002</v>
      </c>
      <c r="C32" s="39">
        <f>IF(ISERROR(B32*3.6/1000000/'E Balans VL '!Z8*100),0,B32*3.6/1000000/'E Balans VL '!Z8*100)</f>
        <v>1.1327748429653986E-2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2325.2676934440001</v>
      </c>
      <c r="C5" s="17">
        <f>IF(ISERROR('Eigen informatie GS &amp; warmtenet'!B59),0,'Eigen informatie GS &amp; warmtenet'!B59)</f>
        <v>0</v>
      </c>
      <c r="D5" s="30">
        <f>SUM(D6:D15)</f>
        <v>671.53981052818006</v>
      </c>
      <c r="E5" s="17">
        <f>SUM(E6:E15)</f>
        <v>306.89652194125483</v>
      </c>
      <c r="F5" s="17">
        <f>SUM(F6:F15)</f>
        <v>1097.6147369977391</v>
      </c>
      <c r="G5" s="18"/>
      <c r="H5" s="17"/>
      <c r="I5" s="17"/>
      <c r="J5" s="17">
        <f>SUM(J6:J15)</f>
        <v>10.731724070376266</v>
      </c>
      <c r="K5" s="17"/>
      <c r="L5" s="17"/>
      <c r="M5" s="17"/>
      <c r="N5" s="17">
        <f>SUM(N6:N15)</f>
        <v>173.67195400416352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19.451678295000001</v>
      </c>
      <c r="C8" s="33"/>
      <c r="D8" s="37">
        <f>IF( ISERROR(IND_metaal_Gas_kWH/1000),0,IND_metaal_Gas_kWH/1000)*0.902</f>
        <v>0</v>
      </c>
      <c r="E8" s="33">
        <f>C30*'E Balans VL '!I18/100/3.6*1000000</f>
        <v>0.69993023036994884</v>
      </c>
      <c r="F8" s="33">
        <f>C30*'E Balans VL '!L18/100/3.6*1000000+C30*'E Balans VL '!N18/100/3.6*1000000</f>
        <v>8.4939173558575671</v>
      </c>
      <c r="G8" s="34"/>
      <c r="H8" s="33"/>
      <c r="I8" s="33"/>
      <c r="J8" s="40">
        <f>C30*'E Balans VL '!D18/100/3.6*1000000+C30*'E Balans VL '!E18/100/3.6*1000000</f>
        <v>0</v>
      </c>
      <c r="K8" s="33"/>
      <c r="L8" s="33"/>
      <c r="M8" s="33"/>
      <c r="N8" s="33">
        <f>C30*'E Balans VL '!Y18/100/3.6*1000000</f>
        <v>0.97490489732933794</v>
      </c>
      <c r="O8" s="33"/>
      <c r="P8" s="33"/>
      <c r="R8" s="32"/>
    </row>
    <row r="9" spans="1:18">
      <c r="A9" s="6" t="s">
        <v>32</v>
      </c>
      <c r="B9" s="37">
        <f t="shared" si="0"/>
        <v>911.34784510999998</v>
      </c>
      <c r="C9" s="33"/>
      <c r="D9" s="37">
        <f>IF( ISERROR(IND_andere_gas_kWh/1000),0,IND_andere_gas_kWh/1000)*0.902</f>
        <v>486.37155886308005</v>
      </c>
      <c r="E9" s="33">
        <f>C31*'E Balans VL '!I19/100/3.6*1000000</f>
        <v>232.55535024953664</v>
      </c>
      <c r="F9" s="33">
        <f>C31*'E Balans VL '!L19/100/3.6*1000000+C31*'E Balans VL '!N19/100/3.6*1000000</f>
        <v>784.60199507263701</v>
      </c>
      <c r="G9" s="34"/>
      <c r="H9" s="33"/>
      <c r="I9" s="33"/>
      <c r="J9" s="40">
        <f>C31*'E Balans VL '!D19/100/3.6*1000000+C31*'E Balans VL '!E19/100/3.6*1000000</f>
        <v>0</v>
      </c>
      <c r="K9" s="33"/>
      <c r="L9" s="33"/>
      <c r="M9" s="33"/>
      <c r="N9" s="33">
        <f>C31*'E Balans VL '!Y19/100/3.6*1000000</f>
        <v>71.894680645244762</v>
      </c>
      <c r="O9" s="33"/>
      <c r="P9" s="33"/>
      <c r="R9" s="32"/>
    </row>
    <row r="10" spans="1:18">
      <c r="A10" s="6" t="s">
        <v>40</v>
      </c>
      <c r="B10" s="37">
        <f t="shared" si="0"/>
        <v>70.726821739000002</v>
      </c>
      <c r="C10" s="33"/>
      <c r="D10" s="37">
        <f>IF( ISERROR(IND_voed_gas_kWh/1000),0,IND_voed_gas_kWh/1000)*0.902</f>
        <v>0</v>
      </c>
      <c r="E10" s="33">
        <f>C32*'E Balans VL '!I20/100/3.6*1000000</f>
        <v>1.7979729244901104</v>
      </c>
      <c r="F10" s="33">
        <f>C32*'E Balans VL '!L20/100/3.6*1000000+C32*'E Balans VL '!N20/100/3.6*1000000</f>
        <v>16.004418058380232</v>
      </c>
      <c r="G10" s="34"/>
      <c r="H10" s="33"/>
      <c r="I10" s="33"/>
      <c r="J10" s="40">
        <f>C32*'E Balans VL '!D20/100/3.6*1000000+C32*'E Balans VL '!E20/100/3.6*1000000</f>
        <v>0</v>
      </c>
      <c r="K10" s="33"/>
      <c r="L10" s="33"/>
      <c r="M10" s="33"/>
      <c r="N10" s="33">
        <f>C32*'E Balans VL '!Y20/100/3.6*1000000</f>
        <v>26.524475278035819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1323.7413483</v>
      </c>
      <c r="C15" s="33"/>
      <c r="D15" s="37">
        <f>IF( ISERROR(IND_rest_gas_kWh/1000),0,IND_rest_gas_kWh/1000)*0.902</f>
        <v>185.1682516651</v>
      </c>
      <c r="E15" s="33">
        <f>C37*'E Balans VL '!I15/100/3.6*1000000</f>
        <v>71.843268536858133</v>
      </c>
      <c r="F15" s="33">
        <f>C37*'E Balans VL '!L15/100/3.6*1000000+C37*'E Balans VL '!N15/100/3.6*1000000</f>
        <v>288.51440651086426</v>
      </c>
      <c r="G15" s="34"/>
      <c r="H15" s="33"/>
      <c r="I15" s="33"/>
      <c r="J15" s="40">
        <f>C37*'E Balans VL '!D15/100/3.6*1000000+C37*'E Balans VL '!E15/100/3.6*1000000</f>
        <v>10.731724070376266</v>
      </c>
      <c r="K15" s="33"/>
      <c r="L15" s="33"/>
      <c r="M15" s="33"/>
      <c r="N15" s="33">
        <f>C37*'E Balans VL '!Y15/100/3.6*1000000</f>
        <v>74.277893183553587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2325.2676934440001</v>
      </c>
      <c r="C18" s="21">
        <f>C5+C16</f>
        <v>0</v>
      </c>
      <c r="D18" s="21">
        <f>MAX((D5+D16),0)</f>
        <v>671.53981052818006</v>
      </c>
      <c r="E18" s="21">
        <f>MAX((E5+E16),0)</f>
        <v>306.89652194125483</v>
      </c>
      <c r="F18" s="21">
        <f>MAX((F5+F16),0)</f>
        <v>1097.6147369977391</v>
      </c>
      <c r="G18" s="21"/>
      <c r="H18" s="21"/>
      <c r="I18" s="21"/>
      <c r="J18" s="21">
        <f>MAX((J5+J16),0)</f>
        <v>10.731724070376266</v>
      </c>
      <c r="K18" s="21"/>
      <c r="L18" s="21">
        <f>MAX((L5+L16),0)</f>
        <v>0</v>
      </c>
      <c r="M18" s="21"/>
      <c r="N18" s="21">
        <f>MAX((N5+N16),0)</f>
        <v>173.67195400416352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0.20862868647285243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485.11754458098102</v>
      </c>
      <c r="C22" s="23">
        <f ca="1">C18*C20</f>
        <v>0</v>
      </c>
      <c r="D22" s="23">
        <f>D18*D20</f>
        <v>135.65104172669237</v>
      </c>
      <c r="E22" s="23">
        <f>E18*E20</f>
        <v>69.66551048066485</v>
      </c>
      <c r="F22" s="23">
        <f>F18*F20</f>
        <v>293.06313477839637</v>
      </c>
      <c r="G22" s="23"/>
      <c r="H22" s="23"/>
      <c r="I22" s="23"/>
      <c r="J22" s="23">
        <f>J18*J20</f>
        <v>3.7990303209131979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19.451678295000001</v>
      </c>
      <c r="C30" s="39">
        <f>IF(ISERROR(B30*3.6/1000000/'E Balans VL '!Z18*100),0,B30*3.6/1000000/'E Balans VL '!Z18*100)</f>
        <v>4.1213935977189855E-3</v>
      </c>
      <c r="D30" s="232" t="s">
        <v>621</v>
      </c>
    </row>
    <row r="31" spans="1:18">
      <c r="A31" s="6" t="s">
        <v>32</v>
      </c>
      <c r="B31" s="37">
        <f>IF( ISERROR(IND_ander_ele_kWh/1000),0,IND_ander_ele_kWh/1000)</f>
        <v>911.34784510999998</v>
      </c>
      <c r="C31" s="39">
        <f>IF(ISERROR(B31*3.6/1000000/'E Balans VL '!Z19*100),0,B31*3.6/1000000/'E Balans VL '!Z19*100)</f>
        <v>3.836070016645874E-2</v>
      </c>
      <c r="D31" s="232" t="s">
        <v>621</v>
      </c>
    </row>
    <row r="32" spans="1:18">
      <c r="A32" s="167" t="s">
        <v>40</v>
      </c>
      <c r="B32" s="37">
        <f>IF( ISERROR(IND_voed_ele_kWh/1000),0,IND_voed_ele_kWh/1000)</f>
        <v>70.726821739000002</v>
      </c>
      <c r="C32" s="39">
        <f>IF(ISERROR(B32*3.6/1000000/'E Balans VL '!Z20*100),0,B32*3.6/1000000/'E Balans VL '!Z20*100)</f>
        <v>1.1815715790451532E-2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1323.7413483</v>
      </c>
      <c r="C37" s="39">
        <f>IF(ISERROR(B37*3.6/1000000/'E Balans VL '!Z15*100),0,B37*3.6/1000000/'E Balans VL '!Z15*100)</f>
        <v>1.0687076480969246E-2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891.564685768</v>
      </c>
      <c r="C5" s="17">
        <f>'Eigen informatie GS &amp; warmtenet'!B60</f>
        <v>0</v>
      </c>
      <c r="D5" s="30">
        <f>IF(ISERROR(SUM(LB_lb_gas_kWh,LB_rest_gas_kWh)/1000),0,SUM(LB_lb_gas_kWh,LB_rest_gas_kWh)/1000)*0.902</f>
        <v>2513.6906340345804</v>
      </c>
      <c r="E5" s="17">
        <f>B17*'E Balans VL '!I25/3.6*1000000/100</f>
        <v>17.662663177240756</v>
      </c>
      <c r="F5" s="17">
        <f>B17*('E Balans VL '!L25/3.6*1000000+'E Balans VL '!N25/3.6*1000000)/100</f>
        <v>3251.2849505564536</v>
      </c>
      <c r="G5" s="18"/>
      <c r="H5" s="17"/>
      <c r="I5" s="17"/>
      <c r="J5" s="17">
        <f>('E Balans VL '!D25+'E Balans VL '!E25)/3.6*1000000*landbouw!B17/100</f>
        <v>211.6933767300462</v>
      </c>
      <c r="K5" s="17"/>
      <c r="L5" s="17">
        <f>L6*(-1)</f>
        <v>0</v>
      </c>
      <c r="M5" s="17"/>
      <c r="N5" s="17">
        <f>N6*(-1)</f>
        <v>124.71428571428569</v>
      </c>
      <c r="O5" s="17"/>
      <c r="P5" s="17"/>
      <c r="R5" s="32"/>
    </row>
    <row r="6" spans="1:18">
      <c r="A6" s="16" t="s">
        <v>477</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891.564685768</v>
      </c>
      <c r="C8" s="21">
        <f>C5+C6</f>
        <v>62.357142857142847</v>
      </c>
      <c r="D8" s="21">
        <f>MAX((D5+D6),0)</f>
        <v>2513.6906340345804</v>
      </c>
      <c r="E8" s="21">
        <f>MAX((E5+E6),0)</f>
        <v>17.662663177240756</v>
      </c>
      <c r="F8" s="21">
        <f>MAX((F5+F6),0)</f>
        <v>3251.2849505564536</v>
      </c>
      <c r="G8" s="21"/>
      <c r="H8" s="21"/>
      <c r="I8" s="21"/>
      <c r="J8" s="21">
        <f>MAX((J5+J6),0)</f>
        <v>211.6933767300462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0.20862868647285243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186.00596929735926</v>
      </c>
      <c r="C12" s="23">
        <f ca="1">C8*C10</f>
        <v>0</v>
      </c>
      <c r="D12" s="23">
        <f>D8*D10</f>
        <v>507.76550807498529</v>
      </c>
      <c r="E12" s="23">
        <f>E8*E10</f>
        <v>4.0094245412336518</v>
      </c>
      <c r="F12" s="23">
        <f>F8*F10</f>
        <v>868.09308179857317</v>
      </c>
      <c r="G12" s="23"/>
      <c r="H12" s="23"/>
      <c r="I12" s="23"/>
      <c r="J12" s="23">
        <f>J8*J10</f>
        <v>74.939455362436348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0.12571652628534619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195.56360328737574</v>
      </c>
      <c r="C26" s="242">
        <f>B26*'GWP N2O_CH4'!B5</f>
        <v>4106.835669034891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25.121314227642475</v>
      </c>
      <c r="C27" s="242">
        <f>B27*'GWP N2O_CH4'!B5</f>
        <v>527.54759878049197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2.8385961841028777</v>
      </c>
      <c r="C28" s="242">
        <f>B28*'GWP N2O_CH4'!B4</f>
        <v>879.96481707189207</v>
      </c>
      <c r="D28" s="50"/>
    </row>
    <row r="29" spans="1:4">
      <c r="A29" s="41" t="s">
        <v>266</v>
      </c>
      <c r="B29" s="242">
        <f>B34*'ha_N2O bodem landbouw'!B4</f>
        <v>12.094889688715275</v>
      </c>
      <c r="C29" s="242">
        <f>B29*'GWP N2O_CH4'!B4</f>
        <v>3749.4158035017354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2.7220074353857845E-3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9.8561136625999706E-5</v>
      </c>
      <c r="C5" s="427" t="s">
        <v>204</v>
      </c>
      <c r="D5" s="412">
        <f>SUM(D6:D11)</f>
        <v>1.8708749553759837E-4</v>
      </c>
      <c r="E5" s="412">
        <f>SUM(E6:E11)</f>
        <v>8.2987745724347108E-4</v>
      </c>
      <c r="F5" s="425" t="s">
        <v>204</v>
      </c>
      <c r="G5" s="412">
        <f>SUM(G6:G11)</f>
        <v>0.26376584137334685</v>
      </c>
      <c r="H5" s="412">
        <f>SUM(H6:H11)</f>
        <v>6.3920462306820663E-2</v>
      </c>
      <c r="I5" s="427" t="s">
        <v>204</v>
      </c>
      <c r="J5" s="427" t="s">
        <v>204</v>
      </c>
      <c r="K5" s="427" t="s">
        <v>204</v>
      </c>
      <c r="L5" s="427" t="s">
        <v>204</v>
      </c>
      <c r="M5" s="412">
        <f>SUM(M6:M11)</f>
        <v>1.0213781788768191E-2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4.5756161313994037E-5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7.2099330602006385E-5</v>
      </c>
      <c r="E6" s="818">
        <f>vkm_GW_PW*SUMIFS(TableVerdeelsleutelVkm[LPG],TableVerdeelsleutelVkm[Voertuigtype],"Lichte voertuigen")*SUMIFS(TableECFTransport[EnergieConsumptieFactor (PJ per km)],TableECFTransport[Index],CONCATENATE($A6,"_LPG_LPG"))</f>
        <v>3.2911646900480451E-4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8.886208715493113E-2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2.5092033021531939E-2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3.5476213828487999E-3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8.5360544342493188E-7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2.9422810596315949E-2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5.9774945390752035E-7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9.2564527345491518E-4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5.1513254910240803E-5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1.1498816493559198E-4</v>
      </c>
      <c r="E8" s="415">
        <f>vkm_NGW_PW*SUMIFS(TableVerdeelsleutelVkm[LPG],TableVerdeelsleutelVkm[Voertuigtype],"Lichte voertuigen")*SUMIFS(TableECFTransport[EnergieConsumptieFactor (PJ per km)],TableECFTransport[Index],CONCATENATE($A8,"_LPG_LPG"))</f>
        <v>5.0076098823866662E-4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0.12606421150391622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3.8827461224897213E-2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5.1296630539557171E-3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4.381149583399215E-7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1.941673211818358E-2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3.7031093760417436E-7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6.1085207850875836E-4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27.37809350722214</v>
      </c>
      <c r="C14" s="21"/>
      <c r="D14" s="21">
        <f t="shared" ref="D14:M14" si="0">((D5)*10^9/3600)+D12</f>
        <v>51.968748760443994</v>
      </c>
      <c r="E14" s="21">
        <f t="shared" si="0"/>
        <v>230.52151590096418</v>
      </c>
      <c r="F14" s="21"/>
      <c r="G14" s="21">
        <f t="shared" si="0"/>
        <v>73268.289270374124</v>
      </c>
      <c r="H14" s="21">
        <f t="shared" si="0"/>
        <v>17755.683974116851</v>
      </c>
      <c r="I14" s="21"/>
      <c r="J14" s="21"/>
      <c r="K14" s="21"/>
      <c r="L14" s="21"/>
      <c r="M14" s="21">
        <f t="shared" si="0"/>
        <v>2837.1616079911641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0.20862868647285243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5.7118556865426848</v>
      </c>
      <c r="C18" s="23"/>
      <c r="D18" s="23">
        <f t="shared" ref="D18:M18" si="1">D14*D16</f>
        <v>10.497687249609687</v>
      </c>
      <c r="E18" s="23">
        <f t="shared" si="1"/>
        <v>52.328384109518872</v>
      </c>
      <c r="F18" s="23"/>
      <c r="G18" s="23">
        <f t="shared" si="1"/>
        <v>19562.633235189893</v>
      </c>
      <c r="H18" s="23">
        <f t="shared" si="1"/>
        <v>4421.1653095550964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3.6471675477178908E-5</v>
      </c>
      <c r="C50" s="311">
        <f t="shared" ref="C50:P50" si="2">SUM(C51:C52)</f>
        <v>0</v>
      </c>
      <c r="D50" s="311">
        <f t="shared" si="2"/>
        <v>0</v>
      </c>
      <c r="E50" s="311">
        <f t="shared" si="2"/>
        <v>0</v>
      </c>
      <c r="F50" s="311">
        <f t="shared" si="2"/>
        <v>0</v>
      </c>
      <c r="G50" s="311">
        <f t="shared" si="2"/>
        <v>6.5029769529559248E-3</v>
      </c>
      <c r="H50" s="311">
        <f t="shared" si="2"/>
        <v>0</v>
      </c>
      <c r="I50" s="311">
        <f t="shared" si="2"/>
        <v>0</v>
      </c>
      <c r="J50" s="311">
        <f t="shared" si="2"/>
        <v>0</v>
      </c>
      <c r="K50" s="311">
        <f t="shared" si="2"/>
        <v>0</v>
      </c>
      <c r="L50" s="311">
        <f t="shared" si="2"/>
        <v>0</v>
      </c>
      <c r="M50" s="311">
        <f t="shared" si="2"/>
        <v>2.0299774381588685E-4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3.6471675477178908E-5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6.5029769529559248E-3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2.0299774381588685E-4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10.13102096588303</v>
      </c>
      <c r="C54" s="21">
        <f t="shared" ref="C54:P54" si="3">(C50)*10^9/3600</f>
        <v>0</v>
      </c>
      <c r="D54" s="21">
        <f t="shared" si="3"/>
        <v>0</v>
      </c>
      <c r="E54" s="21">
        <f t="shared" si="3"/>
        <v>0</v>
      </c>
      <c r="F54" s="21">
        <f t="shared" si="3"/>
        <v>0</v>
      </c>
      <c r="G54" s="21">
        <f t="shared" si="3"/>
        <v>1806.3824869322013</v>
      </c>
      <c r="H54" s="21">
        <f t="shared" si="3"/>
        <v>0</v>
      </c>
      <c r="I54" s="21">
        <f t="shared" si="3"/>
        <v>0</v>
      </c>
      <c r="J54" s="21">
        <f t="shared" si="3"/>
        <v>0</v>
      </c>
      <c r="K54" s="21">
        <f t="shared" si="3"/>
        <v>0</v>
      </c>
      <c r="L54" s="21">
        <f t="shared" si="3"/>
        <v>0</v>
      </c>
      <c r="M54" s="21">
        <f t="shared" si="3"/>
        <v>56.388262171079681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0.20862868647285243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2.1136215967411052</v>
      </c>
      <c r="C58" s="23">
        <f t="shared" ref="C58:P58" ca="1" si="4">C54*C56</f>
        <v>0</v>
      </c>
      <c r="D58" s="23">
        <f t="shared" si="4"/>
        <v>0</v>
      </c>
      <c r="E58" s="23">
        <f t="shared" si="4"/>
        <v>0</v>
      </c>
      <c r="F58" s="23">
        <f t="shared" si="4"/>
        <v>0</v>
      </c>
      <c r="G58" s="23">
        <f t="shared" si="4"/>
        <v>482.30412401089779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1656.6154618531045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43.649999999999991</v>
      </c>
      <c r="C8" s="534">
        <f>B48</f>
        <v>0</v>
      </c>
      <c r="D8" s="961"/>
      <c r="E8" s="961">
        <f>E48</f>
        <v>0</v>
      </c>
      <c r="F8" s="962"/>
      <c r="G8" s="535"/>
      <c r="H8" s="961">
        <f>I48</f>
        <v>0</v>
      </c>
      <c r="I8" s="961">
        <f>G48+F48</f>
        <v>0</v>
      </c>
      <c r="J8" s="961">
        <f>H48+D48+C48</f>
        <v>51.35294117647058</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1700.2654618531046</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62.357142857142847</v>
      </c>
      <c r="C17" s="559">
        <f>B49</f>
        <v>0</v>
      </c>
      <c r="D17" s="560"/>
      <c r="E17" s="560">
        <f>E49</f>
        <v>0</v>
      </c>
      <c r="F17" s="967"/>
      <c r="G17" s="561"/>
      <c r="H17" s="559">
        <f>I49</f>
        <v>0</v>
      </c>
      <c r="I17" s="560">
        <f>G49+F49</f>
        <v>0</v>
      </c>
      <c r="J17" s="560">
        <f>H49+D49+C49</f>
        <v>73.361344537815114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23104</v>
      </c>
      <c r="C28" s="724">
        <v>1750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8622.1446240299992</v>
      </c>
      <c r="D10" s="930">
        <f ca="1">tertiair!C16</f>
        <v>0</v>
      </c>
      <c r="E10" s="930">
        <f ca="1">tertiair!D16</f>
        <v>8237.2554884663987</v>
      </c>
      <c r="F10" s="930">
        <f>tertiair!E16</f>
        <v>125.43409942026078</v>
      </c>
      <c r="G10" s="930">
        <f ca="1">tertiair!F16</f>
        <v>1514.663793612465</v>
      </c>
      <c r="H10" s="930">
        <f>tertiair!G16</f>
        <v>0</v>
      </c>
      <c r="I10" s="930">
        <f>tertiair!H16</f>
        <v>0</v>
      </c>
      <c r="J10" s="930">
        <f>tertiair!I16</f>
        <v>0</v>
      </c>
      <c r="K10" s="930">
        <f>tertiair!J16</f>
        <v>7.5752241324875628E-3</v>
      </c>
      <c r="L10" s="930">
        <f>tertiair!K16</f>
        <v>0</v>
      </c>
      <c r="M10" s="930">
        <f ca="1">tertiair!L16</f>
        <v>0</v>
      </c>
      <c r="N10" s="930">
        <f>tertiair!M16</f>
        <v>0</v>
      </c>
      <c r="O10" s="930">
        <f ca="1">tertiair!N16</f>
        <v>280.798659190487</v>
      </c>
      <c r="P10" s="930">
        <f>tertiair!O16</f>
        <v>3.1266666666666669</v>
      </c>
      <c r="Q10" s="931">
        <f>tertiair!P16</f>
        <v>0</v>
      </c>
      <c r="R10" s="628">
        <f ca="1">SUM(C10:Q10)</f>
        <v>18783.430906610411</v>
      </c>
      <c r="S10" s="67"/>
    </row>
    <row r="11" spans="1:19" s="437" customFormat="1">
      <c r="A11" s="736" t="s">
        <v>214</v>
      </c>
      <c r="B11" s="741"/>
      <c r="C11" s="930">
        <f>huishoudens!B8</f>
        <v>17964.198705597006</v>
      </c>
      <c r="D11" s="930">
        <f>huishoudens!C8</f>
        <v>0</v>
      </c>
      <c r="E11" s="930">
        <f>huishoudens!D8</f>
        <v>23464.97131022</v>
      </c>
      <c r="F11" s="930">
        <f>huishoudens!E8</f>
        <v>1132.9753065454722</v>
      </c>
      <c r="G11" s="930">
        <f>huishoudens!F8</f>
        <v>30803.356005777649</v>
      </c>
      <c r="H11" s="930">
        <f>huishoudens!G8</f>
        <v>0</v>
      </c>
      <c r="I11" s="930">
        <f>huishoudens!H8</f>
        <v>0</v>
      </c>
      <c r="J11" s="930">
        <f>huishoudens!I8</f>
        <v>0</v>
      </c>
      <c r="K11" s="930">
        <f>huishoudens!J8</f>
        <v>568.06890338232517</v>
      </c>
      <c r="L11" s="930">
        <f>huishoudens!K8</f>
        <v>0</v>
      </c>
      <c r="M11" s="930">
        <f>huishoudens!L8</f>
        <v>0</v>
      </c>
      <c r="N11" s="930">
        <f>huishoudens!M8</f>
        <v>0</v>
      </c>
      <c r="O11" s="930">
        <f>huishoudens!N8</f>
        <v>4931.5055279862627</v>
      </c>
      <c r="P11" s="930">
        <f>huishoudens!O8</f>
        <v>112.56000000000002</v>
      </c>
      <c r="Q11" s="931">
        <f>huishoudens!P8</f>
        <v>419.4666666666667</v>
      </c>
      <c r="R11" s="628">
        <f>SUM(C11:Q11)</f>
        <v>79397.102426175363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2325.2676934440001</v>
      </c>
      <c r="D13" s="930">
        <f>industrie!C18</f>
        <v>0</v>
      </c>
      <c r="E13" s="930">
        <f>industrie!D18</f>
        <v>671.53981052818006</v>
      </c>
      <c r="F13" s="930">
        <f>industrie!E18</f>
        <v>306.89652194125483</v>
      </c>
      <c r="G13" s="930">
        <f>industrie!F18</f>
        <v>1097.6147369977391</v>
      </c>
      <c r="H13" s="930">
        <f>industrie!G18</f>
        <v>0</v>
      </c>
      <c r="I13" s="930">
        <f>industrie!H18</f>
        <v>0</v>
      </c>
      <c r="J13" s="930">
        <f>industrie!I18</f>
        <v>0</v>
      </c>
      <c r="K13" s="930">
        <f>industrie!J18</f>
        <v>10.731724070376266</v>
      </c>
      <c r="L13" s="930">
        <f>industrie!K18</f>
        <v>0</v>
      </c>
      <c r="M13" s="930">
        <f>industrie!L18</f>
        <v>0</v>
      </c>
      <c r="N13" s="930">
        <f>industrie!M18</f>
        <v>0</v>
      </c>
      <c r="O13" s="930">
        <f>industrie!N18</f>
        <v>173.67195400416352</v>
      </c>
      <c r="P13" s="930">
        <f>industrie!O18</f>
        <v>0</v>
      </c>
      <c r="Q13" s="931">
        <f>industrie!P18</f>
        <v>0</v>
      </c>
      <c r="R13" s="628">
        <f>SUM(C13:Q13)</f>
        <v>4585.7224409857135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28911.611023071004</v>
      </c>
      <c r="D16" s="660">
        <f t="shared" ref="D16:R16" ca="1" si="0">SUM(D9:D15)</f>
        <v>0</v>
      </c>
      <c r="E16" s="660">
        <f t="shared" ca="1" si="0"/>
        <v>32373.766609214577</v>
      </c>
      <c r="F16" s="660">
        <f t="shared" si="0"/>
        <v>1565.3059279069878</v>
      </c>
      <c r="G16" s="660">
        <f t="shared" ca="1" si="0"/>
        <v>33415.63453638785</v>
      </c>
      <c r="H16" s="660">
        <f t="shared" si="0"/>
        <v>0</v>
      </c>
      <c r="I16" s="660">
        <f t="shared" si="0"/>
        <v>0</v>
      </c>
      <c r="J16" s="660">
        <f t="shared" si="0"/>
        <v>0</v>
      </c>
      <c r="K16" s="660">
        <f t="shared" si="0"/>
        <v>578.80820267683384</v>
      </c>
      <c r="L16" s="660">
        <f t="shared" si="0"/>
        <v>0</v>
      </c>
      <c r="M16" s="660">
        <f t="shared" ca="1" si="0"/>
        <v>0</v>
      </c>
      <c r="N16" s="660">
        <f t="shared" si="0"/>
        <v>0</v>
      </c>
      <c r="O16" s="660">
        <f t="shared" ca="1" si="0"/>
        <v>5385.9761411809131</v>
      </c>
      <c r="P16" s="660">
        <f t="shared" si="0"/>
        <v>115.68666666666668</v>
      </c>
      <c r="Q16" s="660">
        <f t="shared" si="0"/>
        <v>419.4666666666667</v>
      </c>
      <c r="R16" s="660">
        <f t="shared" ca="1" si="0"/>
        <v>102766.25577377148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10.13102096588303</v>
      </c>
      <c r="D19" s="930">
        <f>transport!C54</f>
        <v>0</v>
      </c>
      <c r="E19" s="930">
        <f>transport!D54</f>
        <v>0</v>
      </c>
      <c r="F19" s="930">
        <f>transport!E54</f>
        <v>0</v>
      </c>
      <c r="G19" s="930">
        <f>transport!F54</f>
        <v>0</v>
      </c>
      <c r="H19" s="930">
        <f>transport!G54</f>
        <v>1806.3824869322013</v>
      </c>
      <c r="I19" s="930">
        <f>transport!H54</f>
        <v>0</v>
      </c>
      <c r="J19" s="930">
        <f>transport!I54</f>
        <v>0</v>
      </c>
      <c r="K19" s="930">
        <f>transport!J54</f>
        <v>0</v>
      </c>
      <c r="L19" s="930">
        <f>transport!K54</f>
        <v>0</v>
      </c>
      <c r="M19" s="930">
        <f>transport!L54</f>
        <v>0</v>
      </c>
      <c r="N19" s="930">
        <f>transport!M54</f>
        <v>56.388262171079681</v>
      </c>
      <c r="O19" s="930">
        <f>transport!N54</f>
        <v>0</v>
      </c>
      <c r="P19" s="930">
        <f>transport!O54</f>
        <v>0</v>
      </c>
      <c r="Q19" s="931">
        <f>transport!P54</f>
        <v>0</v>
      </c>
      <c r="R19" s="628">
        <f>SUM(C19:Q19)</f>
        <v>1872.9017700691641</v>
      </c>
      <c r="S19" s="67"/>
    </row>
    <row r="20" spans="1:19" s="437" customFormat="1">
      <c r="A20" s="736" t="s">
        <v>296</v>
      </c>
      <c r="B20" s="741"/>
      <c r="C20" s="930">
        <f>transport!B14</f>
        <v>27.37809350722214</v>
      </c>
      <c r="D20" s="930">
        <f>transport!C14</f>
        <v>0</v>
      </c>
      <c r="E20" s="930">
        <f>transport!D14</f>
        <v>51.968748760443994</v>
      </c>
      <c r="F20" s="930">
        <f>transport!E14</f>
        <v>230.52151590096418</v>
      </c>
      <c r="G20" s="930">
        <f>transport!F14</f>
        <v>0</v>
      </c>
      <c r="H20" s="930">
        <f>transport!G14</f>
        <v>73268.289270374124</v>
      </c>
      <c r="I20" s="930">
        <f>transport!H14</f>
        <v>17755.683974116851</v>
      </c>
      <c r="J20" s="930">
        <f>transport!I14</f>
        <v>0</v>
      </c>
      <c r="K20" s="930">
        <f>transport!J14</f>
        <v>0</v>
      </c>
      <c r="L20" s="930">
        <f>transport!K14</f>
        <v>0</v>
      </c>
      <c r="M20" s="930">
        <f>transport!L14</f>
        <v>0</v>
      </c>
      <c r="N20" s="930">
        <f>transport!M14</f>
        <v>2837.1616079911641</v>
      </c>
      <c r="O20" s="930">
        <f>transport!N14</f>
        <v>0</v>
      </c>
      <c r="P20" s="930">
        <f>transport!O14</f>
        <v>0</v>
      </c>
      <c r="Q20" s="931">
        <f>transport!P14</f>
        <v>0</v>
      </c>
      <c r="R20" s="628">
        <f>SUM(C20:Q20)</f>
        <v>94171.003210650772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37.509114473105171</v>
      </c>
      <c r="D22" s="739">
        <f t="shared" ref="D22:R22" si="1">SUM(D18:D21)</f>
        <v>0</v>
      </c>
      <c r="E22" s="739">
        <f t="shared" si="1"/>
        <v>51.968748760443994</v>
      </c>
      <c r="F22" s="739">
        <f t="shared" si="1"/>
        <v>230.52151590096418</v>
      </c>
      <c r="G22" s="739">
        <f t="shared" si="1"/>
        <v>0</v>
      </c>
      <c r="H22" s="739">
        <f t="shared" si="1"/>
        <v>75074.671757306322</v>
      </c>
      <c r="I22" s="739">
        <f t="shared" si="1"/>
        <v>17755.683974116851</v>
      </c>
      <c r="J22" s="739">
        <f t="shared" si="1"/>
        <v>0</v>
      </c>
      <c r="K22" s="739">
        <f t="shared" si="1"/>
        <v>0</v>
      </c>
      <c r="L22" s="739">
        <f t="shared" si="1"/>
        <v>0</v>
      </c>
      <c r="M22" s="739">
        <f t="shared" si="1"/>
        <v>0</v>
      </c>
      <c r="N22" s="739">
        <f t="shared" si="1"/>
        <v>2893.5498701622437</v>
      </c>
      <c r="O22" s="739">
        <f t="shared" si="1"/>
        <v>0</v>
      </c>
      <c r="P22" s="739">
        <f t="shared" si="1"/>
        <v>0</v>
      </c>
      <c r="Q22" s="739">
        <f t="shared" si="1"/>
        <v>0</v>
      </c>
      <c r="R22" s="739">
        <f t="shared" si="1"/>
        <v>96043.904980719934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891.564685768</v>
      </c>
      <c r="D24" s="930">
        <f>+landbouw!C8</f>
        <v>62.357142857142847</v>
      </c>
      <c r="E24" s="930">
        <f>+landbouw!D8</f>
        <v>2513.6906340345804</v>
      </c>
      <c r="F24" s="930">
        <f>+landbouw!E8</f>
        <v>17.662663177240756</v>
      </c>
      <c r="G24" s="930">
        <f>+landbouw!F8</f>
        <v>3251.2849505564536</v>
      </c>
      <c r="H24" s="930">
        <f>+landbouw!G8</f>
        <v>0</v>
      </c>
      <c r="I24" s="930">
        <f>+landbouw!H8</f>
        <v>0</v>
      </c>
      <c r="J24" s="930">
        <f>+landbouw!I8</f>
        <v>0</v>
      </c>
      <c r="K24" s="930">
        <f>+landbouw!J8</f>
        <v>211.6933767300462</v>
      </c>
      <c r="L24" s="930">
        <f>+landbouw!K8</f>
        <v>0</v>
      </c>
      <c r="M24" s="930">
        <f>+landbouw!L8</f>
        <v>0</v>
      </c>
      <c r="N24" s="930">
        <f>+landbouw!M8</f>
        <v>0</v>
      </c>
      <c r="O24" s="930">
        <f>+landbouw!N8</f>
        <v>0</v>
      </c>
      <c r="P24" s="930">
        <f>+landbouw!O8</f>
        <v>0</v>
      </c>
      <c r="Q24" s="931">
        <f>+landbouw!P8</f>
        <v>0</v>
      </c>
      <c r="R24" s="628">
        <f>SUM(C24:Q24)</f>
        <v>6948.2534531234642</v>
      </c>
      <c r="S24" s="67"/>
    </row>
    <row r="25" spans="1:19" s="437" customFormat="1" ht="15" thickBot="1">
      <c r="A25" s="758" t="s">
        <v>788</v>
      </c>
      <c r="B25" s="933"/>
      <c r="C25" s="934">
        <f>IF(Onbekend_ele_kWh="---",0,Onbekend_ele_kWh)/1000+IF(REST_rest_ele_kWh="---",0,REST_rest_ele_kWh)/1000</f>
        <v>532.70004361999997</v>
      </c>
      <c r="D25" s="934"/>
      <c r="E25" s="934">
        <f>IF(onbekend_gas_kWh="---",0,onbekend_gas_kWh)/1000+IF(REST_rest_gas_kWh="---",0,REST_rest_gas_kWh)/1000</f>
        <v>987.02340441000001</v>
      </c>
      <c r="F25" s="934"/>
      <c r="G25" s="934"/>
      <c r="H25" s="934"/>
      <c r="I25" s="934"/>
      <c r="J25" s="934"/>
      <c r="K25" s="934"/>
      <c r="L25" s="934"/>
      <c r="M25" s="934"/>
      <c r="N25" s="934"/>
      <c r="O25" s="934"/>
      <c r="P25" s="934"/>
      <c r="Q25" s="935"/>
      <c r="R25" s="628">
        <f>SUM(C25:Q25)</f>
        <v>1519.7234480299999</v>
      </c>
      <c r="S25" s="67"/>
    </row>
    <row r="26" spans="1:19" s="437" customFormat="1" ht="15.75" thickBot="1">
      <c r="A26" s="633" t="s">
        <v>789</v>
      </c>
      <c r="B26" s="744"/>
      <c r="C26" s="739">
        <f>SUM(C24:C25)</f>
        <v>1424.264729388</v>
      </c>
      <c r="D26" s="739">
        <f t="shared" ref="D26:R26" si="2">SUM(D24:D25)</f>
        <v>62.357142857142847</v>
      </c>
      <c r="E26" s="739">
        <f t="shared" si="2"/>
        <v>3500.7140384445802</v>
      </c>
      <c r="F26" s="739">
        <f t="shared" si="2"/>
        <v>17.662663177240756</v>
      </c>
      <c r="G26" s="739">
        <f t="shared" si="2"/>
        <v>3251.2849505564536</v>
      </c>
      <c r="H26" s="739">
        <f t="shared" si="2"/>
        <v>0</v>
      </c>
      <c r="I26" s="739">
        <f t="shared" si="2"/>
        <v>0</v>
      </c>
      <c r="J26" s="739">
        <f t="shared" si="2"/>
        <v>0</v>
      </c>
      <c r="K26" s="739">
        <f t="shared" si="2"/>
        <v>211.6933767300462</v>
      </c>
      <c r="L26" s="739">
        <f t="shared" si="2"/>
        <v>0</v>
      </c>
      <c r="M26" s="739">
        <f t="shared" si="2"/>
        <v>0</v>
      </c>
      <c r="N26" s="739">
        <f t="shared" si="2"/>
        <v>0</v>
      </c>
      <c r="O26" s="739">
        <f t="shared" si="2"/>
        <v>0</v>
      </c>
      <c r="P26" s="739">
        <f t="shared" si="2"/>
        <v>0</v>
      </c>
      <c r="Q26" s="739">
        <f t="shared" si="2"/>
        <v>0</v>
      </c>
      <c r="R26" s="739">
        <f t="shared" si="2"/>
        <v>8467.9769011534645</v>
      </c>
      <c r="S26" s="67"/>
    </row>
    <row r="27" spans="1:19" s="437" customFormat="1" ht="17.25" thickTop="1" thickBot="1">
      <c r="A27" s="634" t="s">
        <v>109</v>
      </c>
      <c r="B27" s="732"/>
      <c r="C27" s="635">
        <f ca="1">C22+C16+C26</f>
        <v>30373.384866932109</v>
      </c>
      <c r="D27" s="635">
        <f t="shared" ref="D27:R27" ca="1" si="3">D22+D16+D26</f>
        <v>62.357142857142847</v>
      </c>
      <c r="E27" s="635">
        <f t="shared" ca="1" si="3"/>
        <v>35926.449396419601</v>
      </c>
      <c r="F27" s="635">
        <f t="shared" si="3"/>
        <v>1813.4901069851928</v>
      </c>
      <c r="G27" s="635">
        <f t="shared" ca="1" si="3"/>
        <v>36666.919486944302</v>
      </c>
      <c r="H27" s="635">
        <f t="shared" si="3"/>
        <v>75074.671757306322</v>
      </c>
      <c r="I27" s="635">
        <f t="shared" si="3"/>
        <v>17755.683974116851</v>
      </c>
      <c r="J27" s="635">
        <f t="shared" si="3"/>
        <v>0</v>
      </c>
      <c r="K27" s="635">
        <f t="shared" si="3"/>
        <v>790.50157940688007</v>
      </c>
      <c r="L27" s="635">
        <f t="shared" si="3"/>
        <v>0</v>
      </c>
      <c r="M27" s="635">
        <f t="shared" ca="1" si="3"/>
        <v>0</v>
      </c>
      <c r="N27" s="635">
        <f t="shared" si="3"/>
        <v>2893.5498701622437</v>
      </c>
      <c r="O27" s="635">
        <f t="shared" ca="1" si="3"/>
        <v>5385.9761411809131</v>
      </c>
      <c r="P27" s="635">
        <f t="shared" si="3"/>
        <v>115.68666666666668</v>
      </c>
      <c r="Q27" s="635">
        <f t="shared" si="3"/>
        <v>419.4666666666667</v>
      </c>
      <c r="R27" s="635">
        <f t="shared" ca="1" si="3"/>
        <v>207278.13765564485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1798.8267074903451</v>
      </c>
      <c r="D40" s="930">
        <f ca="1">tertiair!C20</f>
        <v>0</v>
      </c>
      <c r="E40" s="930">
        <f ca="1">tertiair!D20</f>
        <v>1663.9256086702126</v>
      </c>
      <c r="F40" s="930">
        <f>tertiair!E20</f>
        <v>28.473540568399198</v>
      </c>
      <c r="G40" s="930">
        <f ca="1">tertiair!F20</f>
        <v>404.41523289452817</v>
      </c>
      <c r="H40" s="930">
        <f>tertiair!G20</f>
        <v>0</v>
      </c>
      <c r="I40" s="930">
        <f>tertiair!H20</f>
        <v>0</v>
      </c>
      <c r="J40" s="930">
        <f>tertiair!I20</f>
        <v>0</v>
      </c>
      <c r="K40" s="930">
        <f>tertiair!J20</f>
        <v>2.6816293429005973E-3</v>
      </c>
      <c r="L40" s="930">
        <f>tertiair!K20</f>
        <v>0</v>
      </c>
      <c r="M40" s="930">
        <f ca="1">tertiair!L20</f>
        <v>0</v>
      </c>
      <c r="N40" s="930">
        <f>tertiair!M20</f>
        <v>0</v>
      </c>
      <c r="O40" s="930">
        <f ca="1">tertiair!N20</f>
        <v>0</v>
      </c>
      <c r="P40" s="930">
        <f>tertiair!O20</f>
        <v>0</v>
      </c>
      <c r="Q40" s="702">
        <f>tertiair!P20</f>
        <v>0</v>
      </c>
      <c r="R40" s="777">
        <f t="shared" ca="1" si="4"/>
        <v>3895.6437712528282</v>
      </c>
    </row>
    <row r="41" spans="1:18">
      <c r="A41" s="749" t="s">
        <v>214</v>
      </c>
      <c r="B41" s="756"/>
      <c r="C41" s="930">
        <f ca="1">huishoudens!B12</f>
        <v>3747.8471794860193</v>
      </c>
      <c r="D41" s="930">
        <f ca="1">huishoudens!C12</f>
        <v>0</v>
      </c>
      <c r="E41" s="930">
        <f>huishoudens!D12</f>
        <v>4739.9242046644404</v>
      </c>
      <c r="F41" s="930">
        <f>huishoudens!E12</f>
        <v>257.18539458582222</v>
      </c>
      <c r="G41" s="930">
        <f>huishoudens!F12</f>
        <v>8224.4960535426326</v>
      </c>
      <c r="H41" s="930">
        <f>huishoudens!G12</f>
        <v>0</v>
      </c>
      <c r="I41" s="930">
        <f>huishoudens!H12</f>
        <v>0</v>
      </c>
      <c r="J41" s="930">
        <f>huishoudens!I12</f>
        <v>0</v>
      </c>
      <c r="K41" s="930">
        <f>huishoudens!J12</f>
        <v>201.0963917973431</v>
      </c>
      <c r="L41" s="930">
        <f>huishoudens!K12</f>
        <v>0</v>
      </c>
      <c r="M41" s="930">
        <f>huishoudens!L12</f>
        <v>0</v>
      </c>
      <c r="N41" s="930">
        <f>huishoudens!M12</f>
        <v>0</v>
      </c>
      <c r="O41" s="930">
        <f>huishoudens!N12</f>
        <v>0</v>
      </c>
      <c r="P41" s="930">
        <f>huishoudens!O12</f>
        <v>0</v>
      </c>
      <c r="Q41" s="702">
        <f>huishoudens!P12</f>
        <v>0</v>
      </c>
      <c r="R41" s="777">
        <f t="shared" ca="1" si="4"/>
        <v>17170.549224076254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485.11754458098102</v>
      </c>
      <c r="D43" s="930">
        <f ca="1">industrie!C22</f>
        <v>0</v>
      </c>
      <c r="E43" s="930">
        <f>industrie!D22</f>
        <v>135.65104172669237</v>
      </c>
      <c r="F43" s="930">
        <f>industrie!E22</f>
        <v>69.66551048066485</v>
      </c>
      <c r="G43" s="930">
        <f>industrie!F22</f>
        <v>293.06313477839637</v>
      </c>
      <c r="H43" s="930">
        <f>industrie!G22</f>
        <v>0</v>
      </c>
      <c r="I43" s="930">
        <f>industrie!H22</f>
        <v>0</v>
      </c>
      <c r="J43" s="930">
        <f>industrie!I22</f>
        <v>0</v>
      </c>
      <c r="K43" s="930">
        <f>industrie!J22</f>
        <v>3.7990303209131979</v>
      </c>
      <c r="L43" s="930">
        <f>industrie!K22</f>
        <v>0</v>
      </c>
      <c r="M43" s="930">
        <f>industrie!L22</f>
        <v>0</v>
      </c>
      <c r="N43" s="930">
        <f>industrie!M22</f>
        <v>0</v>
      </c>
      <c r="O43" s="930">
        <f>industrie!N22</f>
        <v>0</v>
      </c>
      <c r="P43" s="930">
        <f>industrie!O22</f>
        <v>0</v>
      </c>
      <c r="Q43" s="702">
        <f>industrie!P22</f>
        <v>0</v>
      </c>
      <c r="R43" s="776">
        <f t="shared" ca="1" si="4"/>
        <v>987.29626188764769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6031.7914315573462</v>
      </c>
      <c r="D46" s="660">
        <f t="shared" ref="D46:Q46" ca="1" si="5">SUM(D39:D45)</f>
        <v>0</v>
      </c>
      <c r="E46" s="660">
        <f t="shared" ca="1" si="5"/>
        <v>6539.5008550613456</v>
      </c>
      <c r="F46" s="660">
        <f t="shared" si="5"/>
        <v>355.32444563488627</v>
      </c>
      <c r="G46" s="660">
        <f t="shared" ca="1" si="5"/>
        <v>8921.9744212155565</v>
      </c>
      <c r="H46" s="660">
        <f t="shared" si="5"/>
        <v>0</v>
      </c>
      <c r="I46" s="660">
        <f t="shared" si="5"/>
        <v>0</v>
      </c>
      <c r="J46" s="660">
        <f t="shared" si="5"/>
        <v>0</v>
      </c>
      <c r="K46" s="660">
        <f t="shared" si="5"/>
        <v>204.89810374759921</v>
      </c>
      <c r="L46" s="660">
        <f t="shared" si="5"/>
        <v>0</v>
      </c>
      <c r="M46" s="660">
        <f t="shared" ca="1" si="5"/>
        <v>0</v>
      </c>
      <c r="N46" s="660">
        <f t="shared" si="5"/>
        <v>0</v>
      </c>
      <c r="O46" s="660">
        <f t="shared" ca="1" si="5"/>
        <v>0</v>
      </c>
      <c r="P46" s="660">
        <f t="shared" si="5"/>
        <v>0</v>
      </c>
      <c r="Q46" s="660">
        <f t="shared" si="5"/>
        <v>0</v>
      </c>
      <c r="R46" s="660">
        <f ca="1">SUM(R39:R45)</f>
        <v>22053.48925721673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2.1136215967411052</v>
      </c>
      <c r="D49" s="930">
        <f ca="1">transport!C58</f>
        <v>0</v>
      </c>
      <c r="E49" s="930">
        <f>transport!D58</f>
        <v>0</v>
      </c>
      <c r="F49" s="930">
        <f>transport!E58</f>
        <v>0</v>
      </c>
      <c r="G49" s="930">
        <f>transport!F58</f>
        <v>0</v>
      </c>
      <c r="H49" s="930">
        <f>transport!G58</f>
        <v>482.30412401089779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484.41774560763889</v>
      </c>
    </row>
    <row r="50" spans="1:18">
      <c r="A50" s="752" t="s">
        <v>296</v>
      </c>
      <c r="B50" s="762"/>
      <c r="C50" s="631">
        <f ca="1">transport!B18</f>
        <v>5.7118556865426848</v>
      </c>
      <c r="D50" s="631">
        <f>transport!C18</f>
        <v>0</v>
      </c>
      <c r="E50" s="631">
        <f>transport!D18</f>
        <v>10.497687249609687</v>
      </c>
      <c r="F50" s="631">
        <f>transport!E18</f>
        <v>52.328384109518872</v>
      </c>
      <c r="G50" s="631">
        <f>transport!F18</f>
        <v>0</v>
      </c>
      <c r="H50" s="631">
        <f>transport!G18</f>
        <v>19562.633235189893</v>
      </c>
      <c r="I50" s="631">
        <f>transport!H18</f>
        <v>4421.1653095550964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24052.336471790662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7.8254772832837904</v>
      </c>
      <c r="D52" s="660">
        <f t="shared" ref="D52:Q52" ca="1" si="6">SUM(D48:D51)</f>
        <v>0</v>
      </c>
      <c r="E52" s="660">
        <f t="shared" si="6"/>
        <v>10.497687249609687</v>
      </c>
      <c r="F52" s="660">
        <f t="shared" si="6"/>
        <v>52.328384109518872</v>
      </c>
      <c r="G52" s="660">
        <f t="shared" si="6"/>
        <v>0</v>
      </c>
      <c r="H52" s="660">
        <f t="shared" si="6"/>
        <v>20044.937359200791</v>
      </c>
      <c r="I52" s="660">
        <f t="shared" si="6"/>
        <v>4421.1653095550964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24536.754217398302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186.00596929735926</v>
      </c>
      <c r="D54" s="631">
        <f ca="1">+landbouw!C12</f>
        <v>0</v>
      </c>
      <c r="E54" s="631">
        <f>+landbouw!D12</f>
        <v>507.76550807498529</v>
      </c>
      <c r="F54" s="631">
        <f>+landbouw!E12</f>
        <v>4.0094245412336518</v>
      </c>
      <c r="G54" s="631">
        <f>+landbouw!F12</f>
        <v>868.09308179857317</v>
      </c>
      <c r="H54" s="631">
        <f>+landbouw!G12</f>
        <v>0</v>
      </c>
      <c r="I54" s="631">
        <f>+landbouw!H12</f>
        <v>0</v>
      </c>
      <c r="J54" s="631">
        <f>+landbouw!I12</f>
        <v>0</v>
      </c>
      <c r="K54" s="631">
        <f>+landbouw!J12</f>
        <v>74.939455362436348</v>
      </c>
      <c r="L54" s="631">
        <f>+landbouw!K12</f>
        <v>0</v>
      </c>
      <c r="M54" s="631">
        <f>+landbouw!L12</f>
        <v>0</v>
      </c>
      <c r="N54" s="631">
        <f>+landbouw!M12</f>
        <v>0</v>
      </c>
      <c r="O54" s="631">
        <f>+landbouw!N12</f>
        <v>0</v>
      </c>
      <c r="P54" s="631">
        <f>+landbouw!O12</f>
        <v>0</v>
      </c>
      <c r="Q54" s="632">
        <f>+landbouw!P12</f>
        <v>0</v>
      </c>
      <c r="R54" s="659">
        <f ca="1">SUM(C54:Q54)</f>
        <v>1640.8134390745877</v>
      </c>
    </row>
    <row r="55" spans="1:18" ht="15" thickBot="1">
      <c r="A55" s="752" t="s">
        <v>788</v>
      </c>
      <c r="B55" s="762"/>
      <c r="C55" s="631">
        <f ca="1">C25*'EF ele_warmte'!B12</f>
        <v>111.13651038447179</v>
      </c>
      <c r="D55" s="631"/>
      <c r="E55" s="631">
        <f>E25*EF_CO2_aardgas</f>
        <v>199.37872769082003</v>
      </c>
      <c r="F55" s="631"/>
      <c r="G55" s="631"/>
      <c r="H55" s="631"/>
      <c r="I55" s="631"/>
      <c r="J55" s="631"/>
      <c r="K55" s="631"/>
      <c r="L55" s="631"/>
      <c r="M55" s="631"/>
      <c r="N55" s="631"/>
      <c r="O55" s="631"/>
      <c r="P55" s="631"/>
      <c r="Q55" s="632"/>
      <c r="R55" s="659">
        <f ca="1">SUM(C55:Q55)</f>
        <v>310.51523807529179</v>
      </c>
    </row>
    <row r="56" spans="1:18" ht="15.75" thickBot="1">
      <c r="A56" s="750" t="s">
        <v>789</v>
      </c>
      <c r="B56" s="763"/>
      <c r="C56" s="660">
        <f ca="1">SUM(C54:C55)</f>
        <v>297.14247968183105</v>
      </c>
      <c r="D56" s="660">
        <f t="shared" ref="D56:Q56" ca="1" si="7">SUM(D54:D55)</f>
        <v>0</v>
      </c>
      <c r="E56" s="660">
        <f t="shared" si="7"/>
        <v>707.14423576580532</v>
      </c>
      <c r="F56" s="660">
        <f t="shared" si="7"/>
        <v>4.0094245412336518</v>
      </c>
      <c r="G56" s="660">
        <f t="shared" si="7"/>
        <v>868.09308179857317</v>
      </c>
      <c r="H56" s="660">
        <f t="shared" si="7"/>
        <v>0</v>
      </c>
      <c r="I56" s="660">
        <f t="shared" si="7"/>
        <v>0</v>
      </c>
      <c r="J56" s="660">
        <f t="shared" si="7"/>
        <v>0</v>
      </c>
      <c r="K56" s="660">
        <f t="shared" si="7"/>
        <v>74.939455362436348</v>
      </c>
      <c r="L56" s="660">
        <f t="shared" si="7"/>
        <v>0</v>
      </c>
      <c r="M56" s="660">
        <f t="shared" si="7"/>
        <v>0</v>
      </c>
      <c r="N56" s="660">
        <f t="shared" si="7"/>
        <v>0</v>
      </c>
      <c r="O56" s="660">
        <f t="shared" si="7"/>
        <v>0</v>
      </c>
      <c r="P56" s="660">
        <f t="shared" si="7"/>
        <v>0</v>
      </c>
      <c r="Q56" s="661">
        <f t="shared" si="7"/>
        <v>0</v>
      </c>
      <c r="R56" s="662">
        <f ca="1">SUM(R54:R55)</f>
        <v>1951.3286771498795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6336.7593885224605</v>
      </c>
      <c r="D61" s="668">
        <f t="shared" ref="D61:Q61" ca="1" si="8">D46+D52+D56</f>
        <v>0</v>
      </c>
      <c r="E61" s="668">
        <f t="shared" ca="1" si="8"/>
        <v>7257.1427780767608</v>
      </c>
      <c r="F61" s="668">
        <f t="shared" si="8"/>
        <v>411.66225428563882</v>
      </c>
      <c r="G61" s="668">
        <f t="shared" ca="1" si="8"/>
        <v>9790.0675030141301</v>
      </c>
      <c r="H61" s="668">
        <f t="shared" si="8"/>
        <v>20044.937359200791</v>
      </c>
      <c r="I61" s="668">
        <f t="shared" si="8"/>
        <v>4421.1653095550964</v>
      </c>
      <c r="J61" s="668">
        <f t="shared" si="8"/>
        <v>0</v>
      </c>
      <c r="K61" s="668">
        <f t="shared" si="8"/>
        <v>279.83755911003556</v>
      </c>
      <c r="L61" s="668">
        <f t="shared" si="8"/>
        <v>0</v>
      </c>
      <c r="M61" s="668">
        <f t="shared" ca="1" si="8"/>
        <v>0</v>
      </c>
      <c r="N61" s="668">
        <f t="shared" si="8"/>
        <v>0</v>
      </c>
      <c r="O61" s="668">
        <f t="shared" ca="1" si="8"/>
        <v>0</v>
      </c>
      <c r="P61" s="668">
        <f t="shared" si="8"/>
        <v>0</v>
      </c>
      <c r="Q61" s="668">
        <f t="shared" si="8"/>
        <v>0</v>
      </c>
      <c r="R61" s="668">
        <f ca="1">R46+R52+R56</f>
        <v>48541.572151764914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0.20862868647285246</v>
      </c>
      <c r="D63" s="709">
        <f t="shared" ca="1" si="9"/>
        <v>0</v>
      </c>
      <c r="E63" s="941">
        <f t="shared" ca="1" si="9"/>
        <v>0.20200000000000004</v>
      </c>
      <c r="F63" s="709">
        <f t="shared" si="9"/>
        <v>0.22700000000000004</v>
      </c>
      <c r="G63" s="709">
        <f t="shared" ca="1" si="9"/>
        <v>0.26700000000000002</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1656.6154618531045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1700.2654618531046</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17964.198705597006</v>
      </c>
      <c r="C4" s="441">
        <f>huishoudens!C8</f>
        <v>0</v>
      </c>
      <c r="D4" s="441">
        <f>huishoudens!D8</f>
        <v>23464.97131022</v>
      </c>
      <c r="E4" s="441">
        <f>huishoudens!E8</f>
        <v>1132.9753065454722</v>
      </c>
      <c r="F4" s="441">
        <f>huishoudens!F8</f>
        <v>30803.356005777649</v>
      </c>
      <c r="G4" s="441">
        <f>huishoudens!G8</f>
        <v>0</v>
      </c>
      <c r="H4" s="441">
        <f>huishoudens!H8</f>
        <v>0</v>
      </c>
      <c r="I4" s="441">
        <f>huishoudens!I8</f>
        <v>0</v>
      </c>
      <c r="J4" s="441">
        <f>huishoudens!J8</f>
        <v>568.06890338232517</v>
      </c>
      <c r="K4" s="441">
        <f>huishoudens!K8</f>
        <v>0</v>
      </c>
      <c r="L4" s="441">
        <f>huishoudens!L8</f>
        <v>0</v>
      </c>
      <c r="M4" s="441">
        <f>huishoudens!M8</f>
        <v>0</v>
      </c>
      <c r="N4" s="441">
        <f>huishoudens!N8</f>
        <v>4931.5055279862627</v>
      </c>
      <c r="O4" s="441">
        <f>huishoudens!O8</f>
        <v>112.56000000000002</v>
      </c>
      <c r="P4" s="442">
        <f>huishoudens!P8</f>
        <v>419.4666666666667</v>
      </c>
      <c r="Q4" s="443">
        <f>SUM(B4:P4)</f>
        <v>79397.102426175363</v>
      </c>
    </row>
    <row r="5" spans="1:17">
      <c r="A5" s="440" t="s">
        <v>149</v>
      </c>
      <c r="B5" s="441">
        <f ca="1">tertiair!B16</f>
        <v>8017.1846240300001</v>
      </c>
      <c r="C5" s="441">
        <f ca="1">tertiair!C16</f>
        <v>0</v>
      </c>
      <c r="D5" s="441">
        <f ca="1">tertiair!D16</f>
        <v>8237.2554884663987</v>
      </c>
      <c r="E5" s="441">
        <f>tertiair!E16</f>
        <v>125.43409942026078</v>
      </c>
      <c r="F5" s="441">
        <f ca="1">tertiair!F16</f>
        <v>1514.663793612465</v>
      </c>
      <c r="G5" s="441">
        <f>tertiair!G16</f>
        <v>0</v>
      </c>
      <c r="H5" s="441">
        <f>tertiair!H16</f>
        <v>0</v>
      </c>
      <c r="I5" s="441">
        <f>tertiair!I16</f>
        <v>0</v>
      </c>
      <c r="J5" s="441">
        <f>tertiair!J16</f>
        <v>7.5752241324875628E-3</v>
      </c>
      <c r="K5" s="441">
        <f>tertiair!K16</f>
        <v>0</v>
      </c>
      <c r="L5" s="441">
        <f ca="1">tertiair!L16</f>
        <v>0</v>
      </c>
      <c r="M5" s="441">
        <f>tertiair!M16</f>
        <v>0</v>
      </c>
      <c r="N5" s="441">
        <f ca="1">tertiair!N16</f>
        <v>280.798659190487</v>
      </c>
      <c r="O5" s="441">
        <f>tertiair!O16</f>
        <v>3.1266666666666669</v>
      </c>
      <c r="P5" s="442">
        <f>tertiair!P16</f>
        <v>0</v>
      </c>
      <c r="Q5" s="440">
        <f t="shared" ref="Q5:Q14" ca="1" si="0">SUM(B5:P5)</f>
        <v>18178.470906610411</v>
      </c>
    </row>
    <row r="6" spans="1:17">
      <c r="A6" s="440" t="s">
        <v>187</v>
      </c>
      <c r="B6" s="441">
        <f>'openbare verlichting'!B8</f>
        <v>604.96</v>
      </c>
      <c r="C6" s="441"/>
      <c r="D6" s="441"/>
      <c r="E6" s="441"/>
      <c r="F6" s="441"/>
      <c r="G6" s="441"/>
      <c r="H6" s="441"/>
      <c r="I6" s="441"/>
      <c r="J6" s="441"/>
      <c r="K6" s="441"/>
      <c r="L6" s="441"/>
      <c r="M6" s="441"/>
      <c r="N6" s="441"/>
      <c r="O6" s="441"/>
      <c r="P6" s="442"/>
      <c r="Q6" s="440">
        <f t="shared" si="0"/>
        <v>604.96</v>
      </c>
    </row>
    <row r="7" spans="1:17">
      <c r="A7" s="440" t="s">
        <v>105</v>
      </c>
      <c r="B7" s="441">
        <f>landbouw!B8</f>
        <v>891.564685768</v>
      </c>
      <c r="C7" s="441">
        <f>landbouw!C8</f>
        <v>62.357142857142847</v>
      </c>
      <c r="D7" s="441">
        <f>landbouw!D8</f>
        <v>2513.6906340345804</v>
      </c>
      <c r="E7" s="441">
        <f>landbouw!E8</f>
        <v>17.662663177240756</v>
      </c>
      <c r="F7" s="441">
        <f>landbouw!F8</f>
        <v>3251.2849505564536</v>
      </c>
      <c r="G7" s="441">
        <f>landbouw!G8</f>
        <v>0</v>
      </c>
      <c r="H7" s="441">
        <f>landbouw!H8</f>
        <v>0</v>
      </c>
      <c r="I7" s="441">
        <f>landbouw!I8</f>
        <v>0</v>
      </c>
      <c r="J7" s="441">
        <f>landbouw!J8</f>
        <v>211.6933767300462</v>
      </c>
      <c r="K7" s="441">
        <f>landbouw!K8</f>
        <v>0</v>
      </c>
      <c r="L7" s="441">
        <f>landbouw!L8</f>
        <v>0</v>
      </c>
      <c r="M7" s="441">
        <f>landbouw!M8</f>
        <v>0</v>
      </c>
      <c r="N7" s="441">
        <f>landbouw!N8</f>
        <v>0</v>
      </c>
      <c r="O7" s="441">
        <f>landbouw!O8</f>
        <v>0</v>
      </c>
      <c r="P7" s="442">
        <f>landbouw!P8</f>
        <v>0</v>
      </c>
      <c r="Q7" s="440">
        <f t="shared" si="0"/>
        <v>6948.2534531234642</v>
      </c>
    </row>
    <row r="8" spans="1:17">
      <c r="A8" s="440" t="s">
        <v>600</v>
      </c>
      <c r="B8" s="441">
        <f>industrie!B18</f>
        <v>2325.2676934440001</v>
      </c>
      <c r="C8" s="441">
        <f>industrie!C18</f>
        <v>0</v>
      </c>
      <c r="D8" s="441">
        <f>industrie!D18</f>
        <v>671.53981052818006</v>
      </c>
      <c r="E8" s="441">
        <f>industrie!E18</f>
        <v>306.89652194125483</v>
      </c>
      <c r="F8" s="441">
        <f>industrie!F18</f>
        <v>1097.6147369977391</v>
      </c>
      <c r="G8" s="441">
        <f>industrie!G18</f>
        <v>0</v>
      </c>
      <c r="H8" s="441">
        <f>industrie!H18</f>
        <v>0</v>
      </c>
      <c r="I8" s="441">
        <f>industrie!I18</f>
        <v>0</v>
      </c>
      <c r="J8" s="441">
        <f>industrie!J18</f>
        <v>10.731724070376266</v>
      </c>
      <c r="K8" s="441">
        <f>industrie!K18</f>
        <v>0</v>
      </c>
      <c r="L8" s="441">
        <f>industrie!L18</f>
        <v>0</v>
      </c>
      <c r="M8" s="441">
        <f>industrie!M18</f>
        <v>0</v>
      </c>
      <c r="N8" s="441">
        <f>industrie!N18</f>
        <v>173.67195400416352</v>
      </c>
      <c r="O8" s="441">
        <f>industrie!O18</f>
        <v>0</v>
      </c>
      <c r="P8" s="442">
        <f>industrie!P18</f>
        <v>0</v>
      </c>
      <c r="Q8" s="440">
        <f t="shared" si="0"/>
        <v>4585.7224409857135</v>
      </c>
    </row>
    <row r="9" spans="1:17" s="446" customFormat="1">
      <c r="A9" s="444" t="s">
        <v>549</v>
      </c>
      <c r="B9" s="445">
        <f>transport!B14</f>
        <v>27.37809350722214</v>
      </c>
      <c r="C9" s="445">
        <f>transport!C14</f>
        <v>0</v>
      </c>
      <c r="D9" s="445">
        <f>transport!D14</f>
        <v>51.968748760443994</v>
      </c>
      <c r="E9" s="445">
        <f>transport!E14</f>
        <v>230.52151590096418</v>
      </c>
      <c r="F9" s="445">
        <f>transport!F14</f>
        <v>0</v>
      </c>
      <c r="G9" s="445">
        <f>transport!G14</f>
        <v>73268.289270374124</v>
      </c>
      <c r="H9" s="445">
        <f>transport!H14</f>
        <v>17755.683974116851</v>
      </c>
      <c r="I9" s="445">
        <f>transport!I14</f>
        <v>0</v>
      </c>
      <c r="J9" s="445">
        <f>transport!J14</f>
        <v>0</v>
      </c>
      <c r="K9" s="445">
        <f>transport!K14</f>
        <v>0</v>
      </c>
      <c r="L9" s="445">
        <f>transport!L14</f>
        <v>0</v>
      </c>
      <c r="M9" s="445">
        <f>transport!M14</f>
        <v>2837.1616079911641</v>
      </c>
      <c r="N9" s="445">
        <f>transport!N14</f>
        <v>0</v>
      </c>
      <c r="O9" s="445">
        <f>transport!O14</f>
        <v>0</v>
      </c>
      <c r="P9" s="445">
        <f>transport!P14</f>
        <v>0</v>
      </c>
      <c r="Q9" s="444">
        <f>SUM(B9:P9)</f>
        <v>94171.003210650772</v>
      </c>
    </row>
    <row r="10" spans="1:17">
      <c r="A10" s="440" t="s">
        <v>539</v>
      </c>
      <c r="B10" s="441">
        <f>transport!B54</f>
        <v>10.13102096588303</v>
      </c>
      <c r="C10" s="441">
        <f>transport!C54</f>
        <v>0</v>
      </c>
      <c r="D10" s="441">
        <f>transport!D54</f>
        <v>0</v>
      </c>
      <c r="E10" s="441">
        <f>transport!E54</f>
        <v>0</v>
      </c>
      <c r="F10" s="441">
        <f>transport!F54</f>
        <v>0</v>
      </c>
      <c r="G10" s="441">
        <f>transport!G54</f>
        <v>1806.3824869322013</v>
      </c>
      <c r="H10" s="441">
        <f>transport!H54</f>
        <v>0</v>
      </c>
      <c r="I10" s="441">
        <f>transport!I54</f>
        <v>0</v>
      </c>
      <c r="J10" s="441">
        <f>transport!J54</f>
        <v>0</v>
      </c>
      <c r="K10" s="441">
        <f>transport!K54</f>
        <v>0</v>
      </c>
      <c r="L10" s="441">
        <f>transport!L54</f>
        <v>0</v>
      </c>
      <c r="M10" s="441">
        <f>transport!M54</f>
        <v>56.388262171079681</v>
      </c>
      <c r="N10" s="441">
        <f>transport!N54</f>
        <v>0</v>
      </c>
      <c r="O10" s="441">
        <f>transport!O54</f>
        <v>0</v>
      </c>
      <c r="P10" s="442">
        <f>transport!P54</f>
        <v>0</v>
      </c>
      <c r="Q10" s="440">
        <f t="shared" si="0"/>
        <v>1872.9017700691641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532.70004361999997</v>
      </c>
      <c r="C14" s="448"/>
      <c r="D14" s="448">
        <f>'SEAP template'!E25</f>
        <v>987.02340441000001</v>
      </c>
      <c r="E14" s="448"/>
      <c r="F14" s="448"/>
      <c r="G14" s="448"/>
      <c r="H14" s="448"/>
      <c r="I14" s="448"/>
      <c r="J14" s="448"/>
      <c r="K14" s="448"/>
      <c r="L14" s="448"/>
      <c r="M14" s="448"/>
      <c r="N14" s="448"/>
      <c r="O14" s="448"/>
      <c r="P14" s="449"/>
      <c r="Q14" s="440">
        <f t="shared" si="0"/>
        <v>1519.7234480299999</v>
      </c>
    </row>
    <row r="15" spans="1:17" s="450" customFormat="1">
      <c r="A15" s="956" t="s">
        <v>543</v>
      </c>
      <c r="B15" s="896">
        <f ca="1">SUM(B4:B14)</f>
        <v>30373.384866932109</v>
      </c>
      <c r="C15" s="896">
        <f t="shared" ref="C15:Q15" ca="1" si="1">SUM(C4:C14)</f>
        <v>62.357142857142847</v>
      </c>
      <c r="D15" s="896">
        <f t="shared" ca="1" si="1"/>
        <v>35926.449396419601</v>
      </c>
      <c r="E15" s="896">
        <f t="shared" si="1"/>
        <v>1813.4901069851928</v>
      </c>
      <c r="F15" s="896">
        <f t="shared" ca="1" si="1"/>
        <v>36666.919486944309</v>
      </c>
      <c r="G15" s="896">
        <f t="shared" si="1"/>
        <v>75074.671757306322</v>
      </c>
      <c r="H15" s="896">
        <f t="shared" si="1"/>
        <v>17755.683974116851</v>
      </c>
      <c r="I15" s="896">
        <f t="shared" si="1"/>
        <v>0</v>
      </c>
      <c r="J15" s="896">
        <f t="shared" si="1"/>
        <v>790.50157940688007</v>
      </c>
      <c r="K15" s="896">
        <f t="shared" si="1"/>
        <v>0</v>
      </c>
      <c r="L15" s="896">
        <f t="shared" ca="1" si="1"/>
        <v>0</v>
      </c>
      <c r="M15" s="896">
        <f t="shared" si="1"/>
        <v>2893.5498701622437</v>
      </c>
      <c r="N15" s="896">
        <f t="shared" ca="1" si="1"/>
        <v>5385.9761411809131</v>
      </c>
      <c r="O15" s="896">
        <f t="shared" si="1"/>
        <v>115.68666666666668</v>
      </c>
      <c r="P15" s="896">
        <f t="shared" si="1"/>
        <v>419.4666666666667</v>
      </c>
      <c r="Q15" s="896">
        <f t="shared" ca="1" si="1"/>
        <v>207278.13765564494</v>
      </c>
    </row>
    <row r="17" spans="1:17">
      <c r="A17" s="451" t="s">
        <v>544</v>
      </c>
      <c r="B17" s="714">
        <f ca="1">huishoudens!B10</f>
        <v>0.20862868647285243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3747.8471794860193</v>
      </c>
      <c r="C22" s="441">
        <f t="shared" ref="C22:C32" ca="1" si="3">C4*$C$17</f>
        <v>0</v>
      </c>
      <c r="D22" s="441">
        <f t="shared" ref="D22:D32" si="4">D4*$D$17</f>
        <v>4739.9242046644404</v>
      </c>
      <c r="E22" s="441">
        <f t="shared" ref="E22:E32" si="5">E4*$E$17</f>
        <v>257.18539458582222</v>
      </c>
      <c r="F22" s="441">
        <f t="shared" ref="F22:F32" si="6">F4*$F$17</f>
        <v>8224.4960535426326</v>
      </c>
      <c r="G22" s="441">
        <f t="shared" ref="G22:G32" si="7">G4*$G$17</f>
        <v>0</v>
      </c>
      <c r="H22" s="441">
        <f t="shared" ref="H22:H32" si="8">H4*$H$17</f>
        <v>0</v>
      </c>
      <c r="I22" s="441">
        <f t="shared" ref="I22:I32" si="9">I4*$I$17</f>
        <v>0</v>
      </c>
      <c r="J22" s="441">
        <f t="shared" ref="J22:J32" si="10">J4*$J$17</f>
        <v>201.0963917973431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17170.549224076254</v>
      </c>
    </row>
    <row r="23" spans="1:17">
      <c r="A23" s="440" t="s">
        <v>149</v>
      </c>
      <c r="B23" s="441">
        <f t="shared" ca="1" si="2"/>
        <v>1672.6146973217283</v>
      </c>
      <c r="C23" s="441">
        <f t="shared" ca="1" si="3"/>
        <v>0</v>
      </c>
      <c r="D23" s="441">
        <f t="shared" ca="1" si="4"/>
        <v>1663.9256086702126</v>
      </c>
      <c r="E23" s="441">
        <f t="shared" si="5"/>
        <v>28.473540568399198</v>
      </c>
      <c r="F23" s="441">
        <f t="shared" ca="1" si="6"/>
        <v>404.41523289452817</v>
      </c>
      <c r="G23" s="441">
        <f t="shared" si="7"/>
        <v>0</v>
      </c>
      <c r="H23" s="441">
        <f t="shared" si="8"/>
        <v>0</v>
      </c>
      <c r="I23" s="441">
        <f t="shared" si="9"/>
        <v>0</v>
      </c>
      <c r="J23" s="441">
        <f t="shared" si="10"/>
        <v>2.6816293429005973E-3</v>
      </c>
      <c r="K23" s="441">
        <f t="shared" si="11"/>
        <v>0</v>
      </c>
      <c r="L23" s="441">
        <f t="shared" ca="1" si="12"/>
        <v>0</v>
      </c>
      <c r="M23" s="441">
        <f t="shared" si="13"/>
        <v>0</v>
      </c>
      <c r="N23" s="441">
        <f t="shared" ca="1" si="14"/>
        <v>0</v>
      </c>
      <c r="O23" s="441">
        <f t="shared" si="15"/>
        <v>0</v>
      </c>
      <c r="P23" s="442">
        <f t="shared" si="16"/>
        <v>0</v>
      </c>
      <c r="Q23" s="440">
        <f t="shared" ref="Q23:Q32" ca="1" si="17">SUM(B23:P23)</f>
        <v>3769.4317610842113</v>
      </c>
    </row>
    <row r="24" spans="1:17">
      <c r="A24" s="440" t="s">
        <v>187</v>
      </c>
      <c r="B24" s="441">
        <f t="shared" ca="1" si="2"/>
        <v>126.21201016861681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126.21201016861681</v>
      </c>
    </row>
    <row r="25" spans="1:17">
      <c r="A25" s="440" t="s">
        <v>105</v>
      </c>
      <c r="B25" s="441">
        <f t="shared" ca="1" si="2"/>
        <v>186.00596929735926</v>
      </c>
      <c r="C25" s="441">
        <f t="shared" ca="1" si="3"/>
        <v>0</v>
      </c>
      <c r="D25" s="441">
        <f t="shared" si="4"/>
        <v>507.76550807498529</v>
      </c>
      <c r="E25" s="441">
        <f t="shared" si="5"/>
        <v>4.0094245412336518</v>
      </c>
      <c r="F25" s="441">
        <f t="shared" si="6"/>
        <v>868.09308179857317</v>
      </c>
      <c r="G25" s="441">
        <f t="shared" si="7"/>
        <v>0</v>
      </c>
      <c r="H25" s="441">
        <f t="shared" si="8"/>
        <v>0</v>
      </c>
      <c r="I25" s="441">
        <f t="shared" si="9"/>
        <v>0</v>
      </c>
      <c r="J25" s="441">
        <f t="shared" si="10"/>
        <v>74.939455362436348</v>
      </c>
      <c r="K25" s="441">
        <f t="shared" si="11"/>
        <v>0</v>
      </c>
      <c r="L25" s="441">
        <f t="shared" si="12"/>
        <v>0</v>
      </c>
      <c r="M25" s="441">
        <f t="shared" si="13"/>
        <v>0</v>
      </c>
      <c r="N25" s="441">
        <f t="shared" si="14"/>
        <v>0</v>
      </c>
      <c r="O25" s="441">
        <f t="shared" si="15"/>
        <v>0</v>
      </c>
      <c r="P25" s="442">
        <f t="shared" si="16"/>
        <v>0</v>
      </c>
      <c r="Q25" s="440">
        <f t="shared" ca="1" si="17"/>
        <v>1640.8134390745877</v>
      </c>
    </row>
    <row r="26" spans="1:17">
      <c r="A26" s="440" t="s">
        <v>600</v>
      </c>
      <c r="B26" s="441">
        <f t="shared" ca="1" si="2"/>
        <v>485.11754458098102</v>
      </c>
      <c r="C26" s="441">
        <f t="shared" ca="1" si="3"/>
        <v>0</v>
      </c>
      <c r="D26" s="441">
        <f t="shared" si="4"/>
        <v>135.65104172669237</v>
      </c>
      <c r="E26" s="441">
        <f t="shared" si="5"/>
        <v>69.66551048066485</v>
      </c>
      <c r="F26" s="441">
        <f t="shared" si="6"/>
        <v>293.06313477839637</v>
      </c>
      <c r="G26" s="441">
        <f t="shared" si="7"/>
        <v>0</v>
      </c>
      <c r="H26" s="441">
        <f t="shared" si="8"/>
        <v>0</v>
      </c>
      <c r="I26" s="441">
        <f t="shared" si="9"/>
        <v>0</v>
      </c>
      <c r="J26" s="441">
        <f t="shared" si="10"/>
        <v>3.7990303209131979</v>
      </c>
      <c r="K26" s="441">
        <f t="shared" si="11"/>
        <v>0</v>
      </c>
      <c r="L26" s="441">
        <f t="shared" si="12"/>
        <v>0</v>
      </c>
      <c r="M26" s="441">
        <f t="shared" si="13"/>
        <v>0</v>
      </c>
      <c r="N26" s="441">
        <f t="shared" si="14"/>
        <v>0</v>
      </c>
      <c r="O26" s="441">
        <f t="shared" si="15"/>
        <v>0</v>
      </c>
      <c r="P26" s="442">
        <f t="shared" si="16"/>
        <v>0</v>
      </c>
      <c r="Q26" s="440">
        <f t="shared" ca="1" si="17"/>
        <v>987.29626188764769</v>
      </c>
    </row>
    <row r="27" spans="1:17" s="446" customFormat="1">
      <c r="A27" s="444" t="s">
        <v>549</v>
      </c>
      <c r="B27" s="708">
        <f t="shared" ca="1" si="2"/>
        <v>5.7118556865426848</v>
      </c>
      <c r="C27" s="445">
        <f t="shared" ca="1" si="3"/>
        <v>0</v>
      </c>
      <c r="D27" s="445">
        <f t="shared" si="4"/>
        <v>10.497687249609687</v>
      </c>
      <c r="E27" s="445">
        <f t="shared" si="5"/>
        <v>52.328384109518872</v>
      </c>
      <c r="F27" s="445">
        <f t="shared" si="6"/>
        <v>0</v>
      </c>
      <c r="G27" s="445">
        <f t="shared" si="7"/>
        <v>19562.633235189893</v>
      </c>
      <c r="H27" s="445">
        <f t="shared" si="8"/>
        <v>4421.1653095550964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24052.336471790662</v>
      </c>
    </row>
    <row r="28" spans="1:17">
      <c r="A28" s="440" t="s">
        <v>539</v>
      </c>
      <c r="B28" s="441">
        <f t="shared" ca="1" si="2"/>
        <v>2.1136215967411052</v>
      </c>
      <c r="C28" s="441">
        <f t="shared" ca="1" si="3"/>
        <v>0</v>
      </c>
      <c r="D28" s="441">
        <f t="shared" si="4"/>
        <v>0</v>
      </c>
      <c r="E28" s="441">
        <f t="shared" si="5"/>
        <v>0</v>
      </c>
      <c r="F28" s="441">
        <f t="shared" si="6"/>
        <v>0</v>
      </c>
      <c r="G28" s="441">
        <f t="shared" si="7"/>
        <v>482.30412401089779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484.41774560763889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111.13651038447179</v>
      </c>
      <c r="C32" s="441">
        <f t="shared" ca="1" si="3"/>
        <v>0</v>
      </c>
      <c r="D32" s="441">
        <f t="shared" si="4"/>
        <v>199.37872769082003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310.51523807529179</v>
      </c>
    </row>
    <row r="33" spans="1:17" s="450" customFormat="1">
      <c r="A33" s="956" t="s">
        <v>543</v>
      </c>
      <c r="B33" s="896">
        <f ca="1">SUM(B22:B32)</f>
        <v>6336.7593885224596</v>
      </c>
      <c r="C33" s="896">
        <f t="shared" ref="C33:Q33" ca="1" si="18">SUM(C22:C32)</f>
        <v>0</v>
      </c>
      <c r="D33" s="896">
        <f t="shared" ca="1" si="18"/>
        <v>7257.1427780767608</v>
      </c>
      <c r="E33" s="896">
        <f t="shared" si="18"/>
        <v>411.66225428563882</v>
      </c>
      <c r="F33" s="896">
        <f t="shared" ca="1" si="18"/>
        <v>9790.0675030141301</v>
      </c>
      <c r="G33" s="896">
        <f t="shared" si="18"/>
        <v>20044.937359200791</v>
      </c>
      <c r="H33" s="896">
        <f t="shared" si="18"/>
        <v>4421.1653095550964</v>
      </c>
      <c r="I33" s="896">
        <f t="shared" si="18"/>
        <v>0</v>
      </c>
      <c r="J33" s="896">
        <f t="shared" si="18"/>
        <v>279.8375591100355</v>
      </c>
      <c r="K33" s="896">
        <f t="shared" si="18"/>
        <v>0</v>
      </c>
      <c r="L33" s="896">
        <f t="shared" ca="1" si="18"/>
        <v>0</v>
      </c>
      <c r="M33" s="896">
        <f t="shared" si="18"/>
        <v>0</v>
      </c>
      <c r="N33" s="896">
        <f t="shared" ca="1" si="18"/>
        <v>0</v>
      </c>
      <c r="O33" s="896">
        <f t="shared" si="18"/>
        <v>0</v>
      </c>
      <c r="P33" s="896">
        <f t="shared" si="18"/>
        <v>0</v>
      </c>
      <c r="Q33" s="896">
        <f t="shared" ca="1" si="18"/>
        <v>48541.572151764907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1656.6154618531045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1700.2654618531046</v>
      </c>
      <c r="C10" s="977">
        <f>SUM(C4:C9)</f>
        <v>0</v>
      </c>
      <c r="D10" s="977">
        <f t="shared" ref="D10:H10" si="0">SUM(D8:D9)</f>
        <v>0</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0.20862868647285243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0</v>
      </c>
      <c r="D20" s="977">
        <f t="shared" ref="D20:H20" si="2">SUM(D17:D19)</f>
        <v>0</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0.20862868647285243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2022-07-26T11:04:14Z</dcterms:modified>
</cp:coreProperties>
</file>