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76480D9-8E56-464E-8B03-903714746D1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C9" i="18"/>
  <c r="D77" i="14"/>
  <c r="D9" i="59"/>
  <c r="O38" i="18"/>
  <c r="N38" i="18"/>
  <c r="B9" i="18"/>
  <c r="M38"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7" i="18"/>
  <c r="I9" i="18"/>
  <c r="I77" i="14"/>
  <c r="I9" i="59"/>
  <c r="B17" i="18"/>
  <c r="B20" i="18"/>
  <c r="C6" i="17"/>
  <c r="E10" i="59"/>
  <c r="G77" i="14"/>
  <c r="G9" i="59"/>
  <c r="G10" i="59"/>
  <c r="J9" i="18"/>
  <c r="J77" i="14"/>
  <c r="J9" i="59"/>
  <c r="E20" i="59"/>
  <c r="C47" i="18"/>
  <c r="I5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0" i="18"/>
  <c r="I51" i="18"/>
  <c r="H17" i="18"/>
  <c r="E51" i="18"/>
  <c r="E17" i="18"/>
  <c r="H51" i="18"/>
  <c r="D51" i="18"/>
  <c r="G51" i="18"/>
  <c r="C51" i="18"/>
  <c r="F51" i="18"/>
  <c r="B51" i="18"/>
  <c r="C17" i="18"/>
  <c r="Q14" i="48"/>
  <c r="O24" i="48"/>
  <c r="O30" i="48"/>
  <c r="P24" i="48"/>
  <c r="P30" i="48"/>
  <c r="E78" i="14"/>
  <c r="E90" i="14"/>
  <c r="N78" i="14"/>
  <c r="B50" i="18"/>
  <c r="C8" i="18"/>
  <c r="C10" i="18"/>
  <c r="Q77" i="14"/>
  <c r="P9" i="59"/>
  <c r="O9" i="18"/>
  <c r="G78" i="14"/>
  <c r="C77" i="14"/>
  <c r="C9" i="59"/>
  <c r="F50" i="18"/>
  <c r="G50" i="18"/>
  <c r="I8" i="18"/>
  <c r="H50" i="18"/>
  <c r="C50" i="18"/>
  <c r="E5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<sst xmlns="http://schemas.openxmlformats.org/spreadsheetml/2006/main" count="2421" uniqueCount="890">
  <si>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</si>
  <si>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</si>
  <si>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</si>
  <si>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</si>
  <si>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</si>
  <si>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</si>
  <si>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</si>
  <si>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</si>
  <si>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</si>
  <si>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</si>
  <si>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</si>
  <si>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</si>
  <si>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</si>
  <si>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</si>
  <si>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</si>
  <si>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</si>
  <si>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</si>
  <si>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</si>
  <si>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</si>
  <si>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</si>
  <si>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</si>
  <si>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</si>
  <si>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</si>
  <si>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</si>
  <si>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</si>
  <si>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</si>
  <si>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</si>
  <si>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</si>
  <si>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</si>
  <si>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</si>
  <si>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</si>
  <si>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</si>
  <si>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</si>
  <si>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</si>
  <si>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</si>
  <si>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</si>
  <si>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</si>
  <si>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</si>
  <si>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</si>
  <si>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</si>
  <si>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</si>
  <si>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</si>
  <si>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</si>
  <si>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</si>
  <si>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</si>
  <si>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</si>
  <si>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</si>
  <si>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</si>
  <si>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</si>
  <si>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</si>
  <si>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</si>
  <si>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</si>
  <si>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</si>
  <si>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</si>
  <si>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</si>
  <si>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</si>
  <si>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</si>
  <si>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</si>
  <si>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</si>
  <si>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</si>
  <si>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</si>
  <si>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</si>
  <si>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</si>
  <si>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</si>
  <si>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</si>
  <si>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</si>
  <si>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</si>
  <si>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</si>
  <si>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</si>
  <si>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</si>
  <si>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</si>
  <si>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</si>
  <si>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</si>
  <si>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</si>
  <si>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</si>
  <si>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</si>
  <si>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</si>
  <si>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</si>
  <si>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</si>
  <si>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</si>
  <si>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</si>
  <si>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</si>
  <si>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</si>
  <si>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</si>
  <si>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</si>
  <si>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</si>
  <si>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</si>
  <si>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</si>
  <si>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</si>
  <si>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</si>
  <si>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</si>
  <si>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</si>
  <si>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</si>
  <si>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</si>
  <si>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</si>
  <si>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</si>
  <si>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</si>
  <si>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</si>
  <si>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</si>
  <si>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</si>
  <si>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</si>
  <si>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</si>
  <si>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</si>
  <si>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</si>
  <si>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</si>
  <si>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</si>
  <si>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</si>
  <si>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</si>
  <si>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</si>
  <si>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</si>
  <si>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</si>
  <si>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</si>
  <si>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</si>
  <si>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</si>
  <si>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</si>
  <si>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</si>
  <si>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</si>
  <si>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</si>
  <si>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</si>
  <si>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</si>
  <si>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</si>
  <si>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</si>
  <si>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</si>
  <si>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</si>
  <si>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</si>
  <si>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</si>
  <si>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</si>
  <si>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</si>
  <si>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</si>
  <si>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</si>
  <si>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</si>
  <si>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</si>
  <si>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</si>
  <si>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</si>
  <si>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</si>
  <si>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</si>
  <si>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</si>
  <si>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</si>
  <si>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</si>
  <si>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</si>
  <si>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</si>
  <si>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</si>
  <si>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</si>
  <si>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</si>
  <si>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</si>
  <si>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</si>
  <si>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</si>
  <si>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</si>
  <si>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</si>
  <si>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</si>
  <si>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</si>
  <si>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</si>
  <si>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</si>
  <si>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</si>
  <si>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</si>
  <si>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</si>
  <si>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</si>
  <si>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</si>
  <si>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</si>
  <si>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</si>
  <si>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</si>
  <si>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</si>
  <si>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</si>
  <si>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</si>
  <si>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</si>
  <si>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</si>
  <si>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</si>
  <si>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</si>
  <si>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</si>
  <si>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</si>
  <si>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</si>
  <si>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</si>
  <si>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</si>
  <si>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</si>
  <si>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</si>
  <si>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</si>
  <si>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</si>
  <si>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</si>
  <si>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</si>
  <si>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</si>
  <si>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</si>
  <si>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</si>
  <si>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</si>
  <si>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</si>
  <si>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</si>
  <si>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</si>
  <si>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</si>
  <si>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</si>
  <si>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</si>
  <si>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</si>
  <si>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</si>
  <si>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</si>
  <si>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</si>
  <si>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</si>
  <si>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</si>
  <si>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</si>
  <si>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</si>
  <si>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</si>
  <si>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</si>
  <si>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</si>
  <si>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</si>
  <si>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</si>
  <si>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</si>
  <si>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</si>
  <si>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</si>
  <si>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</si>
  <si>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</si>
  <si>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</si>
  <si>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</si>
  <si>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</si>
  <si>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</si>
  <si>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</si>
  <si>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</si>
  <si>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</si>
  <si>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</si>
  <si>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</si>
  <si>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</si>
  <si>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</si>
  <si>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</si>
  <si>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</si>
  <si>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</si>
  <si>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</si>
  <si>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</si>
  <si>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</si>
  <si>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</si>
  <si>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</si>
  <si>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</si>
  <si>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</si>
  <si>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</si>
  <si>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</si>
  <si>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</si>
  <si>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</si>
  <si>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</si>
  <si>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</si>
  <si>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</si>
  <si>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</si>
  <si>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</si>
  <si>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</si>
  <si>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</si>
  <si>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</si>
  <si>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</si>
  <si>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</si>
  <si>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</si>
  <si>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</si>
  <si>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</si>
  <si>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</si>
  <si>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</si>
  <si>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</si>
  <si>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</si>
  <si>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</si>
  <si>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</si>
  <si>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</si>
  <si>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</si>
  <si>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</si>
  <si>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</si>
  <si>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</si>
  <si>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</si>
  <si>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</si>
  <si>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</si>
  <si>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</si>
  <si>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</si>
  <si>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</si>
  <si>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</si>
  <si>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</si>
  <si>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</si>
  <si>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</si>
  <si>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</si>
  <si>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</si>
  <si>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</si>
  <si>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</si>
  <si>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</si>
  <si>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</si>
  <si>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</si>
  <si>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</si>
  <si>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</si>
  <si>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</si>
  <si>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</si>
  <si>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</si>
  <si>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</si>
  <si>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</si>
  <si>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</si>
  <si>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</si>
  <si>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</si>
  <si>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</si>
  <si>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</si>
  <si>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</si>
  <si>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</si>
  <si>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</si>
  <si>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</si>
  <si>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</si>
  <si>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</si>
  <si>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</si>
  <si>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</si>
  <si>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</si>
  <si>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</si>
  <si>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</si>
  <si>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</si>
  <si>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</si>
  <si>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</si>
  <si>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</si>
  <si>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</si>
  <si>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</si>
  <si>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</si>
  <si>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</si>
  <si>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</si>
  <si>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</si>
  <si>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</si>
  <si>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</si>
  <si>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</si>
  <si>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</si>
  <si>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</si>
  <si>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</si>
  <si>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</si>
  <si>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</si>
  <si>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</si>
  <si>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</si>
  <si>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</si>
  <si>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</si>
  <si>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</si>
  <si>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</si>
  <si>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</si>
  <si>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</si>
  <si>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</si>
  <si>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</si>
  <si>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</si>
  <si>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</si>
  <si>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</si>
  <si>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</si>
  <si>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</si>
  <si>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</si>
  <si>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</si>
  <si>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</si>
  <si>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</si>
  <si>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</si>
  <si>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</si>
  <si>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</si>
  <si>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</si>
  <si>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</si>
  <si>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</si>
  <si>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</si>
  <si>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</si>
  <si>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</si>
  <si>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</si>
  <si>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</si>
  <si>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</si>
  <si>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</si>
  <si>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</si>
  <si>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</si>
  <si>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</si>
  <si>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</si>
  <si>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</si>
  <si>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</si>
  <si>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</si>
  <si>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</si>
  <si>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</si>
  <si>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</si>
  <si>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</si>
  <si>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</si>
  <si>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</si>
  <si>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</si>
  <si>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</si>
  <si>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</si>
  <si>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</si>
  <si>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</si>
  <si>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</si>
  <si>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</si>
  <si>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</si>
  <si>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</si>
  <si>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</si>
  <si>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</si>
  <si>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</si>
  <si>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</si>
  <si>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</si>
  <si>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</si>
  <si>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</si>
  <si>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</si>
  <si>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</si>
  <si>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</si>
  <si>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</si>
  <si>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</si>
  <si>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</si>
  <si>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</si>
  <si>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</si>
  <si>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</si>
  <si>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</si>
  <si>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</si>
  <si>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</si>
  <si>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</si>
  <si>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</si>
  <si>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</si>
  <si>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</si>
  <si>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</si>
  <si>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</si>
  <si>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</si>
  <si>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</si>
  <si>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</si>
  <si>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</si>
  <si>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</si>
  <si>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</si>
  <si>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</si>
  <si>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</si>
  <si>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</si>
  <si>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</si>
  <si>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</si>
  <si>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</si>
  <si>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</si>
  <si>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</si>
  <si>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</si>
  <si>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</si>
  <si>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</si>
  <si>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</si>
  <si>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</si>
  <si>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</si>
  <si>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</si>
  <si>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</si>
  <si>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</si>
  <si>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</si>
  <si>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</si>
  <si>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</si>
  <si>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</si>
  <si>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</si>
  <si>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</si>
  <si>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</si>
  <si>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</si>
  <si>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</si>
  <si>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</si>
  <si>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</si>
  <si>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</si>
  <si>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</si>
  <si>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</si>
  <si>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</si>
  <si>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</si>
  <si>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</si>
  <si>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</si>
  <si>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</si>
  <si>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</si>
  <si>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</si>
  <si>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</si>
  <si>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</si>
  <si>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</si>
  <si>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</si>
  <si>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</si>
  <si>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</si>
  <si>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</si>
  <si>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</si>
  <si>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</si>
  <si>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</si>
  <si>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</si>
  <si>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</si>
  <si>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</si>
  <si>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</si>
  <si>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</si>
  <si>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</si>
  <si>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</si>
  <si>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</si>
  <si>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</si>
  <si>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</si>
  <si>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</si>
  <si>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</si>
  <si>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</si>
  <si>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</si>
  <si>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</si>
  <si>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</si>
  <si>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</si>
  <si>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</si>
  <si>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</si>
  <si>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</si>
  <si>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</si>
  <si>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</si>
  <si>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</si>
  <si>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</si>
  <si>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</si>
  <si>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</si>
  <si>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</si>
  <si>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</si>
  <si>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</si>
  <si>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</si>
  <si>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</si>
  <si>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</si>
  <si>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</si>
  <si>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</si>
  <si>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</si>
  <si>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</si>
  <si>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</si>
  <si>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</si>
  <si>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</si>
  <si>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</si>
  <si>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</si>
  <si>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</si>
  <si>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</si>
  <si>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</si>
  <si>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</si>
  <si>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</si>
  <si>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</si>
  <si>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</si>
  <si>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</si>
  <si>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</si>
  <si>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</si>
  <si>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</si>
  <si>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</si>
  <si>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</si>
  <si>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</si>
  <si>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</si>
  <si>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</si>
  <si>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</si>
  <si>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</si>
  <si>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</si>
  <si>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</si>
  <si>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</si>
  <si>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</si>
  <si>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</si>
  <si>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</si>
  <si>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</si>
  <si>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</si>
  <si>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</si>
  <si>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</si>
  <si>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</si>
  <si>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</si>
  <si>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</si>
  <si>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</si>
  <si>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</si>
  <si>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</si>
  <si>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</si>
  <si>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</si>
  <si>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</si>
  <si>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</si>
  <si>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</si>
  <si>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</si>
  <si>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</si>
  <si>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</si>
  <si>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</si>
  <si>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</si>
  <si>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</si>
  <si>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</si>
  <si>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</si>
  <si>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</si>
  <si>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</si>
  <si>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</si>
  <si>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</si>
  <si>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</si>
  <si>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</si>
  <si>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</si>
  <si>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</si>
  <si>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</si>
  <si>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</si>
  <si>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</si>
  <si>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</si>
  <si>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</si>
  <si>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</si>
  <si>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</si>
  <si>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</si>
  <si>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</si>
  <si>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</si>
  <si>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</si>
  <si>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</si>
  <si>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</si>
  <si>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</si>
  <si>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</si>
  <si>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</si>
  <si>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</si>
  <si>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</si>
  <si>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</si>
  <si>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</si>
  <si>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</si>
  <si>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</si>
  <si>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</si>
  <si>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</si>
  <si>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</si>
  <si>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</si>
  <si>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</si>
  <si>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</si>
  <si>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</si>
  <si>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</si>
  <si>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</si>
  <si>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</si>
  <si>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</si>
  <si>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</si>
  <si>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</si>
  <si>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</si>
  <si>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</si>
  <si>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</si>
  <si>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</si>
  <si>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</si>
  <si>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</si>
  <si>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</si>
  <si>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</si>
  <si>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</si>
  <si>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</si>
  <si>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</si>
  <si>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</si>
  <si>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</si>
  <si>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</si>
  <si>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</si>
  <si>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</si>
  <si>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</si>
  <si>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</si>
  <si>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</si>
  <si>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</si>
  <si>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</si>
  <si>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</si>
  <si>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</si>
  <si>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</si>
  <si>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</si>
  <si>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</si>
  <si>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</si>
  <si>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</si>
  <si>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</si>
  <si>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</si>
  <si>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</si>
  <si>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</si>
  <si>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</si>
  <si>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</si>
  <si>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</si>
  <si>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</si>
  <si>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</si>
  <si>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</si>
  <si>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</si>
  <si>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</si>
  <si>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</si>
  <si>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</si>
  <si>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</si>
  <si>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</si>
  <si>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</si>
  <si>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</si>
  <si>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</si>
  <si>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</si>
  <si>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</si>
  <si>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</si>
  <si>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</si>
  <si>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</si>
  <si>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</si>
  <si>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</si>
  <si>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</si>
  <si>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</si>
  <si>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</si>
  <si>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</si>
  <si>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</si>
  <si>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</si>
  <si>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</si>
  <si>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</si>
  <si>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</si>
  <si>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</si>
  <si>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</si>
  <si>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</si>
  <si>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</si>
  <si>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</si>
  <si>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</si>
  <si>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</si>
  <si>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</si>
  <si>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</si>
  <si>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</si>
  <si>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</si>
  <si>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</si>
  <si>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</si>
  <si>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</si>
  <si>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</si>
  <si>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</si>
  <si>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</si>
  <si>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</si>
  <si>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</si>
  <si>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</si>
  <si>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</si>
  <si>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</si>
  <si>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</si>
  <si>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</si>
  <si>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</si>
  <si>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</si>
  <si>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</si>
  <si>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</si>
  <si>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</si>
  <si>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</si>
  <si>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</si>
  <si>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</si>
  <si>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</si>
  <si>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</si>
  <si>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</si>
  <si>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</si>
  <si>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</si>
  <si>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</si>
  <si>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</si>
  <si>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</si>
  <si>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</si>
  <si>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</si>
  <si>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</si>
  <si>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</si>
  <si>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</si>
  <si>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</si>
  <si>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</si>
  <si>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</si>
  <si>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</si>
  <si>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</si>
  <si>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</si>
  <si>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</si>
  <si>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</si>
  <si>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</si>
  <si>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</si>
  <si>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</si>
  <si>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</si>
  <si>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</si>
  <si>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</si>
  <si>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</si>
  <si>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</si>
  <si>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</si>
  <si>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</si>
  <si>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</si>
  <si>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</si>
  <si>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</si>
  <si>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</si>
  <si>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</si>
  <si>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</si>
  <si>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</si>
  <si>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</si>
  <si>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</si>
  <si>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</si>
  <si>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</si>
  <si>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</si>
  <si>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</si>
  <si>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</si>
  <si>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</si>
  <si>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</si>
  <si>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</si>
  <si>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</si>
  <si>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</si>
  <si>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</si>
  <si>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</si>
  <si>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</si>
  <si>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</si>
  <si>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</si>
  <si>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</si>
  <si>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</si>
  <si>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</si>
  <si>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</si>
  <si>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</si>
  <si>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</si>
  <si>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</si>
  <si>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</si>
  <si>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</si>
  <si>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</si>
  <si>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</si>
  <si>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</si>
  <si>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</si>
  <si>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</si>
  <si>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</si>
  <si>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</si>
  <si>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</si>
  <si>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</si>
  <si>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</si>
  <si>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</si>
  <si>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</si>
  <si>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</si>
  <si>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</si>
  <si>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</si>
  <si>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</si>
  <si>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</si>
  <si>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</si>
  <si>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</si>
  <si>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</si>
  <si>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</si>
  <si>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</si>
  <si>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</si>
  <si>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</si>
  <si>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</si>
  <si>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</si>
  <si>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</si>
  <si>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</si>
  <si>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</si>
  <si>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</si>
  <si>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</si>
  <si>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</si>
  <si>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</si>
  <si>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</si>
  <si>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</si>
  <si>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</si>
  <si>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</si>
  <si>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</si>
  <si>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</si>
  <si>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</si>
  <si>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</si>
  <si>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</si>
  <si>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</si>
  <si>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</si>
  <si>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</si>
  <si>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</si>
  <si>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</si>
  <si>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</si>
  <si>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</si>
  <si>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</si>
  <si>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</si>
  <si>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</si>
  <si>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</si>
  <si>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</si>
  <si>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</si>
  <si>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</si>
  <si>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</si>
  <si>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</si>
  <si>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</si>
  <si>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</si>
  <si>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</si>
  <si>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</si>
  <si>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</si>
  <si>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</si>
  <si>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</si>
  <si>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</si>
  <si>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</si>
  <si>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</si>
  <si>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</si>
  <si>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</si>
  <si>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</si>
  <si>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</si>
  <si>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</si>
  <si>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</si>
  <si>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</si>
  <si>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</si>
  <si>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</si>
  <si>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</si>
  <si>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</si>
  <si>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</si>
  <si>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</si>
  <si>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</si>
  <si>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</si>
  <si>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</si>
  <si>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</si>
  <si>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</si>
  <si>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</si>
  <si>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</si>
  <si>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</si>
  <si>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</si>
  <si>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</si>
  <si>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</si>
  <si>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</si>
  <si>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</si>
  <si>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</si>
  <si>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</si>
  <si>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</si>
  <si>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</si>
  <si>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</si>
  <si>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</si>
  <si>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</si>
  <si>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</si>
  <si>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</si>
  <si>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</si>
  <si>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</si>
  <si>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</si>
  <si>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</si>
  <si>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</si>
  <si>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</si>
  <si>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</si>
  <si>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</si>
  <si>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</si>
  <si>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</si>
  <si>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</si>
  <si>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</si>
  <si>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</si>
  <si>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</si>
  <si>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</si>
  <si>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</si>
  <si>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</si>
  <si>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</si>
  <si>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</si>
  <si>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</si>
  <si>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</si>
  <si>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</si>
  <si>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</si>
  <si>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</si>
  <si>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</si>
  <si>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</si>
  <si>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</si>
  <si>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</si>
  <si>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</si>
  <si>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</si>
  <si>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</si>
  <si>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</si>
  <si>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</si>
  <si>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</si>
  <si>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</si>
  <si>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</si>
  <si>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</si>
  <si>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</si>
  <si>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</si>
  <si>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</si>
  <si>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</si>
  <si>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</si>
  <si>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11008</t>
  </si>
  <si>
    <t>BRASSCHAAT</t>
  </si>
  <si>
    <t>Paarden&amp;pony's 200 - 600 kg</t>
  </si>
  <si>
    <t>Paarden&amp;pony's &lt; 200 kg</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</si>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</sst>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95DDAD3-5FD8-4A04-8066-B9B4A789133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374083.04217673989</c:v>
                </c:pt>
                <c:pt idx="1">
                  <c:v>150244.09484617232</c:v>
                </c:pt>
                <c:pt idx="2">
                  <c:v>1889.5319999999999</c:v>
                </c:pt>
                <c:pt idx="3">
                  <c:v>659.02318016334857</c:v>
                </c:pt>
                <c:pt idx="4">
                  <c:v>11094.697160459747</c:v>
                </c:pt>
                <c:pt idx="5">
                  <c:v>178369.73477941938</c:v>
                </c:pt>
                <c:pt idx="6">
                  <c:v>3770.7247943637126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374083.04217673989</c:v>
                </c:pt>
                <c:pt idx="1">
                  <c:v>150244.09484617232</c:v>
                </c:pt>
                <c:pt idx="2">
                  <c:v>1889.5319999999999</c:v>
                </c:pt>
                <c:pt idx="3">
                  <c:v>659.02318016334857</c:v>
                </c:pt>
                <c:pt idx="4">
                  <c:v>11094.697160459747</c:v>
                </c:pt>
                <c:pt idx="5">
                  <c:v>178369.73477941938</c:v>
                </c:pt>
                <c:pt idx="6">
                  <c:v>3770.7247943637126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75063.973552838666</c:v>
                </c:pt>
                <c:pt idx="2">
                  <c:v>31115.076063238554</c:v>
                </c:pt>
                <c:pt idx="3">
                  <c:v>403.49207992020968</c:v>
                </c:pt>
                <c:pt idx="4">
                  <c:v>158.38366797508644</c:v>
                </c:pt>
                <c:pt idx="5">
                  <c:v>2345.21044638792</c:v>
                </c:pt>
                <c:pt idx="6">
                  <c:v>45615.574314615886</c:v>
                </c:pt>
                <c:pt idx="7">
                  <c:v>975.38145382158427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75063.973552838666</c:v>
                </c:pt>
                <c:pt idx="2">
                  <c:v>31115.076063238554</c:v>
                </c:pt>
                <c:pt idx="3">
                  <c:v>403.49207992020968</c:v>
                </c:pt>
                <c:pt idx="4">
                  <c:v>158.38366797508644</c:v>
                </c:pt>
                <c:pt idx="5">
                  <c:v>2345.21044638792</c:v>
                </c:pt>
                <c:pt idx="6">
                  <c:v>45615.574314615886</c:v>
                </c:pt>
                <c:pt idx="7">
                  <c:v>975.38145382158427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11008</v>
      </c>
      <c r="B6" s="380"/>
      <c r="C6" s="381"/>
    </row>
    <row r="7" spans="1:7" s="378" customFormat="1" ht="15.75" customHeight="1">
      <c r="A7" s="382" t="str">
        <f>txtMunicipality</f>
        <v>BRASSCHAAT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0.21354074973073212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0.21354074973073212</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15863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299.10000000000002</v>
      </c>
      <c r="C14" s="322"/>
      <c r="D14" s="322"/>
      <c r="E14" s="322"/>
      <c r="F14" s="322"/>
    </row>
    <row r="15" spans="1:6">
      <c r="A15" s="1248" t="s">
        <v>177</v>
      </c>
      <c r="B15" s="1249">
        <v>0</v>
      </c>
      <c r="C15" s="322"/>
      <c r="D15" s="322"/>
      <c r="E15" s="322"/>
      <c r="F15" s="322"/>
    </row>
    <row r="16" spans="1:6">
      <c r="A16" s="1248" t="s">
        <v>6</v>
      </c>
      <c r="B16" s="1249">
        <v>3</v>
      </c>
      <c r="C16" s="322"/>
      <c r="D16" s="322"/>
      <c r="E16" s="322"/>
      <c r="F16" s="322"/>
    </row>
    <row r="17" spans="1:6">
      <c r="A17" s="1248" t="s">
        <v>7</v>
      </c>
      <c r="B17" s="1249">
        <v>0</v>
      </c>
      <c r="C17" s="322"/>
      <c r="D17" s="322"/>
      <c r="E17" s="322"/>
      <c r="F17" s="322"/>
    </row>
    <row r="18" spans="1:6">
      <c r="A18" s="1248" t="s">
        <v>8</v>
      </c>
      <c r="B18" s="1249">
        <v>2</v>
      </c>
      <c r="C18" s="322"/>
      <c r="D18" s="322"/>
      <c r="E18" s="322"/>
      <c r="F18" s="322"/>
    </row>
    <row r="19" spans="1:6">
      <c r="A19" s="1248" t="s">
        <v>9</v>
      </c>
      <c r="B19" s="1249">
        <v>0</v>
      </c>
      <c r="C19" s="322"/>
      <c r="D19" s="322"/>
      <c r="E19" s="322"/>
      <c r="F19" s="322"/>
    </row>
    <row r="20" spans="1:6">
      <c r="A20" s="1248" t="s">
        <v>10</v>
      </c>
      <c r="B20" s="1249">
        <v>1</v>
      </c>
      <c r="C20" s="322"/>
      <c r="D20" s="322"/>
      <c r="E20" s="322"/>
      <c r="F20" s="322"/>
    </row>
    <row r="21" spans="1:6">
      <c r="A21" s="1248" t="s">
        <v>11</v>
      </c>
      <c r="B21" s="1249">
        <v>0</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1</v>
      </c>
      <c r="C25" s="322"/>
      <c r="D25" s="322"/>
      <c r="E25" s="322"/>
      <c r="F25" s="322"/>
    </row>
    <row r="26" spans="1:6">
      <c r="A26" s="1248" t="s">
        <v>16</v>
      </c>
      <c r="B26" s="1249">
        <v>27</v>
      </c>
      <c r="C26" s="322"/>
      <c r="D26" s="322"/>
      <c r="E26" s="322"/>
      <c r="F26" s="322"/>
    </row>
    <row r="27" spans="1:6">
      <c r="A27" s="1248" t="s">
        <v>17</v>
      </c>
      <c r="B27" s="1249">
        <v>12</v>
      </c>
      <c r="C27" s="322"/>
      <c r="D27" s="322"/>
      <c r="E27" s="322"/>
      <c r="F27" s="322"/>
    </row>
    <row r="28" spans="1:6">
      <c r="A28" s="1248" t="s">
        <v>18</v>
      </c>
      <c r="B28" s="1250">
        <v>19</v>
      </c>
      <c r="C28" s="322"/>
      <c r="D28" s="322"/>
      <c r="E28" s="322"/>
      <c r="F28" s="322"/>
    </row>
    <row r="29" spans="1:6">
      <c r="A29" s="1248" t="s">
        <v>884</v>
      </c>
      <c r="B29" s="1250">
        <v>153</v>
      </c>
      <c r="C29" s="322"/>
      <c r="D29" s="322"/>
      <c r="E29" s="322"/>
      <c r="F29" s="322"/>
    </row>
    <row r="30" spans="1:6">
      <c r="A30" s="1243" t="s">
        <v>885</v>
      </c>
      <c r="B30" s="1251">
        <v>42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3253.149355</v>
      </c>
    </row>
    <row r="39" spans="1:6">
      <c r="A39" s="1248" t="s">
        <v>29</v>
      </c>
      <c r="B39" s="1248" t="s">
        <v>30</v>
      </c>
      <c r="C39" s="1249">
        <v>13596</v>
      </c>
      <c r="D39" s="1249">
        <v>264340328.03999999</v>
      </c>
      <c r="E39" s="1249">
        <v>15929</v>
      </c>
      <c r="F39" s="1249">
        <v>67740248.763999999</v>
      </c>
    </row>
    <row r="40" spans="1:6">
      <c r="A40" s="1248" t="s">
        <v>29</v>
      </c>
      <c r="B40" s="1248" t="s">
        <v>28</v>
      </c>
      <c r="C40" s="1249">
        <v>1</v>
      </c>
      <c r="D40" s="1249">
        <v>303030.31803000002</v>
      </c>
      <c r="E40" s="1249">
        <v>1</v>
      </c>
      <c r="F40" s="1249">
        <v>50805</v>
      </c>
    </row>
    <row r="41" spans="1:6">
      <c r="A41" s="1248" t="s">
        <v>31</v>
      </c>
      <c r="B41" s="1248" t="s">
        <v>32</v>
      </c>
      <c r="C41" s="1249">
        <v>128</v>
      </c>
      <c r="D41" s="1249">
        <v>3117507.1669000001</v>
      </c>
      <c r="E41" s="1249">
        <v>224</v>
      </c>
      <c r="F41" s="1249">
        <v>1938871.8702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143266.95985000001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243541.58861999999</v>
      </c>
    </row>
    <row r="48" spans="1:6">
      <c r="A48" s="1248" t="s">
        <v>31</v>
      </c>
      <c r="B48" s="1248" t="s">
        <v>28</v>
      </c>
      <c r="C48" s="1249">
        <v>19</v>
      </c>
      <c r="D48" s="1249">
        <v>615248.97319000005</v>
      </c>
      <c r="E48" s="1249">
        <v>30</v>
      </c>
      <c r="F48" s="1249">
        <v>291013.74281000003</v>
      </c>
    </row>
    <row r="49" spans="1:6">
      <c r="A49" s="1248" t="s">
        <v>31</v>
      </c>
      <c r="B49" s="1248" t="s">
        <v>39</v>
      </c>
      <c r="C49" s="1249">
        <v>0</v>
      </c>
      <c r="D49" s="1249">
        <v>0</v>
      </c>
      <c r="E49" s="1249">
        <v>0</v>
      </c>
      <c r="F49" s="1249">
        <v>0</v>
      </c>
    </row>
    <row r="50" spans="1:6">
      <c r="A50" s="1248" t="s">
        <v>31</v>
      </c>
      <c r="B50" s="1248" t="s">
        <v>40</v>
      </c>
      <c r="C50" s="1249">
        <v>12</v>
      </c>
      <c r="D50" s="1249">
        <v>1419144.3895</v>
      </c>
      <c r="E50" s="1249">
        <v>12</v>
      </c>
      <c r="F50" s="1249">
        <v>914292.67218999995</v>
      </c>
    </row>
    <row r="51" spans="1:6">
      <c r="A51" s="1248" t="s">
        <v>41</v>
      </c>
      <c r="B51" s="1248" t="s">
        <v>42</v>
      </c>
      <c r="C51" s="1249">
        <v>4</v>
      </c>
      <c r="D51" s="1249">
        <v>120156.53168</v>
      </c>
      <c r="E51" s="1249">
        <v>10</v>
      </c>
      <c r="F51" s="1249">
        <v>61320.264429000003</v>
      </c>
    </row>
    <row r="52" spans="1:6">
      <c r="A52" s="1248" t="s">
        <v>41</v>
      </c>
      <c r="B52" s="1248" t="s">
        <v>28</v>
      </c>
      <c r="C52" s="1249">
        <v>3</v>
      </c>
      <c r="D52" s="1249">
        <v>128855.75676</v>
      </c>
      <c r="E52" s="1249">
        <v>5</v>
      </c>
      <c r="F52" s="1249">
        <v>27263.918398999998</v>
      </c>
    </row>
    <row r="53" spans="1:6">
      <c r="A53" s="1248" t="s">
        <v>43</v>
      </c>
      <c r="B53" s="1248" t="s">
        <v>44</v>
      </c>
      <c r="C53" s="1249">
        <v>354</v>
      </c>
      <c r="D53" s="1249">
        <v>9425384.7708000001</v>
      </c>
      <c r="E53" s="1249">
        <v>658</v>
      </c>
      <c r="F53" s="1249">
        <v>2643717.3234999999</v>
      </c>
    </row>
    <row r="54" spans="1:6">
      <c r="A54" s="1248" t="s">
        <v>45</v>
      </c>
      <c r="B54" s="1248" t="s">
        <v>46</v>
      </c>
      <c r="C54" s="1249">
        <v>0</v>
      </c>
      <c r="D54" s="1249">
        <v>0</v>
      </c>
      <c r="E54" s="1249">
        <v>1</v>
      </c>
      <c r="F54" s="1249">
        <v>1889532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102</v>
      </c>
      <c r="D57" s="1249">
        <v>6474753.1083000004</v>
      </c>
      <c r="E57" s="1249">
        <v>138</v>
      </c>
      <c r="F57" s="1249">
        <v>5691825.2153000003</v>
      </c>
    </row>
    <row r="58" spans="1:6">
      <c r="A58" s="1248" t="s">
        <v>48</v>
      </c>
      <c r="B58" s="1248" t="s">
        <v>50</v>
      </c>
      <c r="C58" s="1249">
        <v>111</v>
      </c>
      <c r="D58" s="1249">
        <v>16964950.326000001</v>
      </c>
      <c r="E58" s="1249">
        <v>142</v>
      </c>
      <c r="F58" s="1249">
        <v>8210218.2841999996</v>
      </c>
    </row>
    <row r="59" spans="1:6">
      <c r="A59" s="1248" t="s">
        <v>48</v>
      </c>
      <c r="B59" s="1248" t="s">
        <v>51</v>
      </c>
      <c r="C59" s="1249">
        <v>300</v>
      </c>
      <c r="D59" s="1249">
        <v>10805830.482000001</v>
      </c>
      <c r="E59" s="1249">
        <v>437</v>
      </c>
      <c r="F59" s="1249">
        <v>11774588.998</v>
      </c>
    </row>
    <row r="60" spans="1:6">
      <c r="A60" s="1248" t="s">
        <v>48</v>
      </c>
      <c r="B60" s="1248" t="s">
        <v>52</v>
      </c>
      <c r="C60" s="1249">
        <v>134</v>
      </c>
      <c r="D60" s="1249">
        <v>8809311.5769999996</v>
      </c>
      <c r="E60" s="1249">
        <v>156</v>
      </c>
      <c r="F60" s="1249">
        <v>4970189.7719999999</v>
      </c>
    </row>
    <row r="61" spans="1:6">
      <c r="A61" s="1248" t="s">
        <v>48</v>
      </c>
      <c r="B61" s="1248" t="s">
        <v>53</v>
      </c>
      <c r="C61" s="1249">
        <v>580</v>
      </c>
      <c r="D61" s="1249">
        <v>33584797.207000002</v>
      </c>
      <c r="E61" s="1249">
        <v>1018</v>
      </c>
      <c r="F61" s="1249">
        <v>14584738.953</v>
      </c>
    </row>
    <row r="62" spans="1:6">
      <c r="A62" s="1248" t="s">
        <v>48</v>
      </c>
      <c r="B62" s="1248" t="s">
        <v>54</v>
      </c>
      <c r="C62" s="1249">
        <v>44</v>
      </c>
      <c r="D62" s="1249">
        <v>12180921.640000001</v>
      </c>
      <c r="E62" s="1249">
        <v>67</v>
      </c>
      <c r="F62" s="1249">
        <v>2834911.8539999998</v>
      </c>
    </row>
    <row r="63" spans="1:6">
      <c r="A63" s="1248" t="s">
        <v>48</v>
      </c>
      <c r="B63" s="1248" t="s">
        <v>28</v>
      </c>
      <c r="C63" s="1249">
        <v>105</v>
      </c>
      <c r="D63" s="1249">
        <v>5903173.7016000003</v>
      </c>
      <c r="E63" s="1249">
        <v>102</v>
      </c>
      <c r="F63" s="1249">
        <v>3021583.4649999999</v>
      </c>
    </row>
    <row r="64" spans="1:6">
      <c r="A64" s="1248" t="s">
        <v>55</v>
      </c>
      <c r="B64" s="1248" t="s">
        <v>56</v>
      </c>
      <c r="C64" s="1249">
        <v>0</v>
      </c>
      <c r="D64" s="1249">
        <v>0</v>
      </c>
      <c r="E64" s="1249">
        <v>0</v>
      </c>
      <c r="F64" s="1249">
        <v>0</v>
      </c>
    </row>
    <row r="65" spans="1:6">
      <c r="A65" s="1248" t="s">
        <v>55</v>
      </c>
      <c r="B65" s="1248" t="s">
        <v>28</v>
      </c>
      <c r="C65" s="1249">
        <v>7</v>
      </c>
      <c r="D65" s="1249">
        <v>312586.43758999999</v>
      </c>
      <c r="E65" s="1249">
        <v>8</v>
      </c>
      <c r="F65" s="1249">
        <v>132747.85187000001</v>
      </c>
    </row>
    <row r="66" spans="1:6">
      <c r="A66" s="1248" t="s">
        <v>55</v>
      </c>
      <c r="B66" s="1248" t="s">
        <v>57</v>
      </c>
      <c r="C66" s="1249">
        <v>0</v>
      </c>
      <c r="D66" s="1249">
        <v>0</v>
      </c>
      <c r="E66" s="1249">
        <v>26</v>
      </c>
      <c r="F66" s="1249">
        <v>630736.20536000002</v>
      </c>
    </row>
    <row r="67" spans="1:6">
      <c r="A67" s="1248" t="s">
        <v>55</v>
      </c>
      <c r="B67" s="1248" t="s">
        <v>58</v>
      </c>
      <c r="C67" s="1249">
        <v>0</v>
      </c>
      <c r="D67" s="1249">
        <v>0</v>
      </c>
      <c r="E67" s="1249">
        <v>0</v>
      </c>
      <c r="F67" s="1249">
        <v>0</v>
      </c>
    </row>
    <row r="68" spans="1:6">
      <c r="A68" s="1243" t="s">
        <v>55</v>
      </c>
      <c r="B68" s="1243" t="s">
        <v>59</v>
      </c>
      <c r="C68" s="1251">
        <v>5</v>
      </c>
      <c r="D68" s="1251">
        <v>48280.424013000003</v>
      </c>
      <c r="E68" s="1251">
        <v>7</v>
      </c>
      <c r="F68" s="1251">
        <v>44725.072542000002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119487854</v>
      </c>
      <c r="E73" s="439"/>
      <c r="F73" s="322"/>
    </row>
    <row r="74" spans="1:6">
      <c r="A74" s="1248" t="s">
        <v>63</v>
      </c>
      <c r="B74" s="1248" t="s">
        <v>626</v>
      </c>
      <c r="C74" s="1261" t="s">
        <v>628</v>
      </c>
      <c r="D74" s="1249">
        <v>6472244.9705300722</v>
      </c>
      <c r="E74" s="439"/>
      <c r="F74" s="322"/>
    </row>
    <row r="75" spans="1:6">
      <c r="A75" s="1248" t="s">
        <v>64</v>
      </c>
      <c r="B75" s="1248" t="s">
        <v>625</v>
      </c>
      <c r="C75" s="1261" t="s">
        <v>629</v>
      </c>
      <c r="D75" s="1249">
        <v>52003597</v>
      </c>
      <c r="E75" s="439"/>
      <c r="F75" s="322"/>
    </row>
    <row r="76" spans="1:6">
      <c r="A76" s="1248" t="s">
        <v>64</v>
      </c>
      <c r="B76" s="1248" t="s">
        <v>626</v>
      </c>
      <c r="C76" s="1261" t="s">
        <v>630</v>
      </c>
      <c r="D76" s="1249">
        <v>382671.97053007234</v>
      </c>
      <c r="E76" s="439"/>
      <c r="F76" s="322"/>
    </row>
    <row r="77" spans="1:6">
      <c r="A77" s="1248" t="s">
        <v>65</v>
      </c>
      <c r="B77" s="1248" t="s">
        <v>625</v>
      </c>
      <c r="C77" s="1261" t="s">
        <v>631</v>
      </c>
      <c r="D77" s="1249">
        <v>29778584</v>
      </c>
      <c r="E77" s="439"/>
      <c r="F77" s="322"/>
    </row>
    <row r="78" spans="1:6">
      <c r="A78" s="1243" t="s">
        <v>65</v>
      </c>
      <c r="B78" s="1243" t="s">
        <v>626</v>
      </c>
      <c r="C78" s="1243" t="s">
        <v>632</v>
      </c>
      <c r="D78" s="1251">
        <v>7030371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1019850.0589398553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3281.9252125132762</v>
      </c>
      <c r="C91" s="322"/>
      <c r="D91" s="322"/>
      <c r="E91" s="322"/>
      <c r="F91" s="322"/>
    </row>
    <row r="92" spans="1:6">
      <c r="A92" s="1243" t="s">
        <v>68</v>
      </c>
      <c r="B92" s="1244">
        <v>1245.8817130001455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10619</v>
      </c>
      <c r="C97" s="322"/>
      <c r="D97" s="322"/>
      <c r="E97" s="322"/>
      <c r="F97" s="322"/>
    </row>
    <row r="98" spans="1:6">
      <c r="A98" s="1248" t="s">
        <v>71</v>
      </c>
      <c r="B98" s="1249">
        <v>10</v>
      </c>
      <c r="C98" s="322"/>
      <c r="D98" s="322"/>
      <c r="E98" s="322"/>
      <c r="F98" s="322"/>
    </row>
    <row r="99" spans="1:6">
      <c r="A99" s="1248" t="s">
        <v>72</v>
      </c>
      <c r="B99" s="1249">
        <v>37</v>
      </c>
      <c r="C99" s="322"/>
      <c r="D99" s="322"/>
      <c r="E99" s="322"/>
      <c r="F99" s="322"/>
    </row>
    <row r="100" spans="1:6">
      <c r="A100" s="1248" t="s">
        <v>73</v>
      </c>
      <c r="B100" s="1249">
        <v>1008</v>
      </c>
      <c r="C100" s="322"/>
      <c r="D100" s="322"/>
      <c r="E100" s="322"/>
      <c r="F100" s="322"/>
    </row>
    <row r="101" spans="1:6">
      <c r="A101" s="1248" t="s">
        <v>74</v>
      </c>
      <c r="B101" s="1249">
        <v>130</v>
      </c>
      <c r="C101" s="322"/>
      <c r="D101" s="322"/>
      <c r="E101" s="322"/>
      <c r="F101" s="322"/>
    </row>
    <row r="102" spans="1:6">
      <c r="A102" s="1248" t="s">
        <v>75</v>
      </c>
      <c r="B102" s="1249">
        <v>172</v>
      </c>
      <c r="C102" s="322"/>
      <c r="D102" s="322"/>
      <c r="E102" s="322"/>
      <c r="F102" s="322"/>
    </row>
    <row r="103" spans="1:6">
      <c r="A103" s="1248" t="s">
        <v>76</v>
      </c>
      <c r="B103" s="1249">
        <v>162</v>
      </c>
      <c r="C103" s="322"/>
      <c r="D103" s="322"/>
      <c r="E103" s="322"/>
      <c r="F103" s="322"/>
    </row>
    <row r="104" spans="1:6">
      <c r="A104" s="1248" t="s">
        <v>77</v>
      </c>
      <c r="B104" s="1249">
        <v>2355</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32</v>
      </c>
      <c r="C123" s="1249">
        <v>18</v>
      </c>
      <c r="D123" s="322"/>
      <c r="E123" s="322"/>
      <c r="F123" s="322"/>
    </row>
    <row r="124" spans="1:6">
      <c r="A124" s="1248" t="s">
        <v>88</v>
      </c>
      <c r="B124" s="1249">
        <v>5</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133</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131550.17214690713</v>
      </c>
      <c r="C3" s="43" t="s">
        <v>163</v>
      </c>
      <c r="D3" s="43"/>
      <c r="E3" s="153"/>
      <c r="F3" s="43"/>
      <c r="G3" s="43"/>
      <c r="H3" s="43"/>
      <c r="I3" s="43"/>
      <c r="J3" s="43"/>
      <c r="K3" s="96"/>
    </row>
    <row r="4" spans="1:11">
      <c r="A4" s="348" t="s">
        <v>164</v>
      </c>
      <c r="B4" s="49">
        <f>IF(ISERROR('SEAP template'!B78+'SEAP template'!C78),0,'SEAP template'!B78+'SEAP template'!C78)</f>
        <v>5691.9569255134211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276.65682352941184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0.21354074973073212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395.2240336134455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1663.0714285714289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1889.5319999999999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1889.5319999999999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0.21354074973073212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403.49207992020968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67791.053763999997</v>
      </c>
      <c r="C5" s="17">
        <f>IF(ISERROR('Eigen informatie GS &amp; warmtenet'!B57),0,'Eigen informatie GS &amp; warmtenet'!B57)</f>
        <v>0</v>
      </c>
      <c r="D5" s="30">
        <f>(SUM(HH_hh_gas_kWh,HH_rest_gas_kWh)/1000)*0.902</f>
        <v>238708.30923894304</v>
      </c>
      <c r="E5" s="17">
        <f>B32*B41</f>
        <v>1522.4923486005712</v>
      </c>
      <c r="F5" s="17">
        <f>B36*B45</f>
        <v>41393.553380268371</v>
      </c>
      <c r="G5" s="18"/>
      <c r="H5" s="17"/>
      <c r="I5" s="17"/>
      <c r="J5" s="17">
        <f>B35*B44+C35*C44</f>
        <v>763.37105838131083</v>
      </c>
      <c r="K5" s="17"/>
      <c r="L5" s="17"/>
      <c r="M5" s="17"/>
      <c r="N5" s="17">
        <f>B34*B43+C34*C43</f>
        <v>19334.480507366567</v>
      </c>
      <c r="O5" s="17">
        <f>B52*B53*B54</f>
        <v>239.19000000000003</v>
      </c>
      <c r="P5" s="17">
        <f>B60*B61*B62/1000-B60*B61*B62/1000/B63</f>
        <v>1048.6666666666667</v>
      </c>
    </row>
    <row r="6" spans="1:16">
      <c r="A6" s="16" t="s">
        <v>586</v>
      </c>
      <c r="B6" s="716">
        <f>kWh_PV_kleiner_dan_10kW</f>
        <v>3281.9252125132762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71072.978976513274</v>
      </c>
      <c r="C8" s="21">
        <f>C5</f>
        <v>0</v>
      </c>
      <c r="D8" s="21">
        <f>D5</f>
        <v>238708.30923894304</v>
      </c>
      <c r="E8" s="21">
        <f>E5</f>
        <v>1522.4923486005712</v>
      </c>
      <c r="F8" s="21">
        <f>F5</f>
        <v>41393.553380268371</v>
      </c>
      <c r="G8" s="21"/>
      <c r="H8" s="21"/>
      <c r="I8" s="21"/>
      <c r="J8" s="21">
        <f>J5</f>
        <v>763.37105838131083</v>
      </c>
      <c r="K8" s="21"/>
      <c r="L8" s="21">
        <f>L5</f>
        <v>0</v>
      </c>
      <c r="M8" s="21">
        <f>M5</f>
        <v>0</v>
      </c>
      <c r="N8" s="21">
        <f>N5</f>
        <v>19334.480507366567</v>
      </c>
      <c r="O8" s="21">
        <f>O5</f>
        <v>239.19000000000003</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0.21354074973073212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15176.977216241206</v>
      </c>
      <c r="C12" s="23">
        <f ca="1">C10*C8</f>
        <v>0</v>
      </c>
      <c r="D12" s="23">
        <f>D8*D10</f>
        <v>48219.078466266496</v>
      </c>
      <c r="E12" s="23">
        <f>E10*E8</f>
        <v>345.60576313232968</v>
      </c>
      <c r="F12" s="23">
        <f>F10*F8</f>
        <v>11052.078752531655</v>
      </c>
      <c r="G12" s="23"/>
      <c r="H12" s="23"/>
      <c r="I12" s="23"/>
      <c r="J12" s="23">
        <f>J10*J8</f>
        <v>270.23335466698404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15863</v>
      </c>
      <c r="C26" s="36"/>
      <c r="D26" s="224"/>
    </row>
    <row r="27" spans="1:5" s="15" customFormat="1">
      <c r="A27" s="226" t="s">
        <v>655</v>
      </c>
      <c r="B27" s="37">
        <f>SUM(HH_hh_gas_aantal,HH_rest_gas_aantal)</f>
        <v>13597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12917.15</v>
      </c>
      <c r="C31" s="34" t="s">
        <v>104</v>
      </c>
      <c r="D31" s="170"/>
    </row>
    <row r="32" spans="1:5">
      <c r="A32" s="167" t="s">
        <v>72</v>
      </c>
      <c r="B32" s="33">
        <f>IF((B21*($B$26-($B$27-0.05*$B$27)-$B$60))&lt;0,0,B21*($B$26-($B$27-0.05*$B$27)-$B$60))</f>
        <v>18.655888954962215</v>
      </c>
      <c r="C32" s="34" t="s">
        <v>104</v>
      </c>
      <c r="D32" s="170"/>
    </row>
    <row r="33" spans="1:6">
      <c r="A33" s="167" t="s">
        <v>73</v>
      </c>
      <c r="B33" s="33">
        <f>IF((B22*($B$26-($B$27-0.05*$B$27)-$B$60))&lt;0,0,B22*($B$26-($B$27-0.05*$B$27)-$B$60))</f>
        <v>649.66582493011549</v>
      </c>
      <c r="C33" s="34" t="s">
        <v>104</v>
      </c>
      <c r="D33" s="170"/>
    </row>
    <row r="34" spans="1:6">
      <c r="A34" s="167" t="s">
        <v>74</v>
      </c>
      <c r="B34" s="33">
        <f>IF((B24*($B$26-($B$27-0.05*$B$27)-$B$60))&lt;0,0,B24*($B$26-($B$27-0.05*$B$27)-$B$60))</f>
        <v>129.01032011994809</v>
      </c>
      <c r="C34" s="33">
        <f>B26*C24</f>
        <v>3246.5587057440293</v>
      </c>
      <c r="D34" s="229"/>
    </row>
    <row r="35" spans="1:6">
      <c r="A35" s="167" t="s">
        <v>76</v>
      </c>
      <c r="B35" s="33">
        <f>IF((B19*($B$26-($B$27-0.05*$B$27)-$B$60))&lt;0,0,B19*($B$26-($B$27-0.05*$B$27)-$B$60))</f>
        <v>63.002238139173699</v>
      </c>
      <c r="C35" s="33">
        <f>B35/2</f>
        <v>31.501119069586849</v>
      </c>
      <c r="D35" s="229"/>
    </row>
    <row r="36" spans="1:6">
      <c r="A36" s="167" t="s">
        <v>77</v>
      </c>
      <c r="B36" s="33">
        <f>IF((B18*($B$26-($B$27-0.05*$B$27)-$B$60))&lt;0,0,B18*($B$26-($B$27-0.05*$B$27)-$B$60))</f>
        <v>2030.5157278558017</v>
      </c>
      <c r="C36" s="34" t="s">
        <v>104</v>
      </c>
      <c r="D36" s="170"/>
    </row>
    <row r="37" spans="1:6">
      <c r="A37" s="167" t="s">
        <v>78</v>
      </c>
      <c r="B37" s="33">
        <f>B60</f>
        <v>55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51088.056541500002</v>
      </c>
      <c r="C5" s="17">
        <f>IF(ISERROR('Eigen informatie GS &amp; warmtenet'!B58),0,'Eigen informatie GS &amp; warmtenet'!B58)</f>
        <v>0</v>
      </c>
      <c r="D5" s="30">
        <f>SUM(D6:D12)</f>
        <v>85440.81171379381</v>
      </c>
      <c r="E5" s="17">
        <f>SUM(E6:E12)</f>
        <v>601.00217211282586</v>
      </c>
      <c r="F5" s="17">
        <f>SUM(F6:F12)</f>
        <v>10581.958546002046</v>
      </c>
      <c r="G5" s="18"/>
      <c r="H5" s="17"/>
      <c r="I5" s="17"/>
      <c r="J5" s="17">
        <f>SUM(J6:J12)</f>
        <v>7.5567148477529003E-2</v>
      </c>
      <c r="K5" s="17"/>
      <c r="L5" s="17"/>
      <c r="M5" s="17"/>
      <c r="N5" s="17">
        <f>SUM(N6:N12)</f>
        <v>2762.4936389485129</v>
      </c>
      <c r="O5" s="17">
        <f>B38*B39*B40</f>
        <v>1.5633333333333335</v>
      </c>
      <c r="P5" s="17">
        <f>B46*B47*B48/1000-B46*B47*B48/1000/B49</f>
        <v>38.133333333333333</v>
      </c>
      <c r="R5" s="32"/>
    </row>
    <row r="6" spans="1:18">
      <c r="A6" s="32" t="s">
        <v>53</v>
      </c>
      <c r="B6" s="37">
        <f>B26</f>
        <v>14584.738953</v>
      </c>
      <c r="C6" s="33"/>
      <c r="D6" s="37">
        <f>IF(ISERROR(TER_kantoor_gas_kWh/1000),0,TER_kantoor_gas_kWh/1000)*0.902</f>
        <v>30293.487080714003</v>
      </c>
      <c r="E6" s="33">
        <f>$C$26*'E Balans VL '!I12/100/3.6*1000000</f>
        <v>8.3033337915270105E-18</v>
      </c>
      <c r="F6" s="33">
        <f>$C$26*('E Balans VL '!L12+'E Balans VL '!N12)/100/3.6*1000000</f>
        <v>1971.6163910621594</v>
      </c>
      <c r="G6" s="34"/>
      <c r="H6" s="33"/>
      <c r="I6" s="33"/>
      <c r="J6" s="33">
        <f>$C$26*('E Balans VL '!D12+'E Balans VL '!E12)/100/3.6*1000000</f>
        <v>0</v>
      </c>
      <c r="K6" s="33"/>
      <c r="L6" s="33"/>
      <c r="M6" s="33"/>
      <c r="N6" s="33">
        <f>$C$26*'E Balans VL '!Y12/100/3.6*1000000</f>
        <v>18.330053374187724</v>
      </c>
      <c r="O6" s="33"/>
      <c r="P6" s="33"/>
      <c r="R6" s="32"/>
    </row>
    <row r="7" spans="1:18">
      <c r="A7" s="32" t="s">
        <v>52</v>
      </c>
      <c r="B7" s="37">
        <f t="shared" ref="B7:B12" si="0">B27</f>
        <v>4970.1897719999997</v>
      </c>
      <c r="C7" s="33"/>
      <c r="D7" s="37">
        <f>IF(ISERROR(TER_horeca_gas_kWh/1000),0,TER_horeca_gas_kWh/1000)*0.902</f>
        <v>7945.9990424540001</v>
      </c>
      <c r="E7" s="33">
        <f>$C$27*'E Balans VL '!I9/100/3.6*1000000</f>
        <v>63.479436771854083</v>
      </c>
      <c r="F7" s="33">
        <f>$C$27*('E Balans VL '!L9+'E Balans VL '!N9)/100/3.6*1000000</f>
        <v>561.36060283708105</v>
      </c>
      <c r="G7" s="34"/>
      <c r="H7" s="33"/>
      <c r="I7" s="33"/>
      <c r="J7" s="33">
        <f>$C$27*('E Balans VL '!D9+'E Balans VL '!E9)/100/3.6*1000000</f>
        <v>0</v>
      </c>
      <c r="K7" s="33"/>
      <c r="L7" s="33"/>
      <c r="M7" s="33"/>
      <c r="N7" s="33">
        <f>$C$27*'E Balans VL '!Y9/100/3.6*1000000</f>
        <v>1.1844173199374977</v>
      </c>
      <c r="O7" s="33"/>
      <c r="P7" s="33"/>
      <c r="R7" s="32"/>
    </row>
    <row r="8" spans="1:18">
      <c r="A8" s="6" t="s">
        <v>51</v>
      </c>
      <c r="B8" s="37">
        <f t="shared" si="0"/>
        <v>11774.588997999999</v>
      </c>
      <c r="C8" s="33"/>
      <c r="D8" s="37">
        <f>IF(ISERROR(TER_handel_gas_kWh/1000),0,TER_handel_gas_kWh/1000)*0.902</f>
        <v>9746.8590947640005</v>
      </c>
      <c r="E8" s="33">
        <f>$C$28*'E Balans VL '!I13/100/3.6*1000000</f>
        <v>384.53896517521252</v>
      </c>
      <c r="F8" s="33">
        <f>$C$28*('E Balans VL '!L13+'E Balans VL '!N13)/100/3.6*1000000</f>
        <v>2038.6744145758296</v>
      </c>
      <c r="G8" s="34"/>
      <c r="H8" s="33"/>
      <c r="I8" s="33"/>
      <c r="J8" s="33">
        <f>$C$28*('E Balans VL '!D13+'E Balans VL '!E13)/100/3.6*1000000</f>
        <v>0</v>
      </c>
      <c r="K8" s="33"/>
      <c r="L8" s="33"/>
      <c r="M8" s="33"/>
      <c r="N8" s="33">
        <f>$C$28*'E Balans VL '!Y13/100/3.6*1000000</f>
        <v>13.858364625727727</v>
      </c>
      <c r="O8" s="33"/>
      <c r="P8" s="33"/>
      <c r="R8" s="32"/>
    </row>
    <row r="9" spans="1:18">
      <c r="A9" s="32" t="s">
        <v>50</v>
      </c>
      <c r="B9" s="37">
        <f t="shared" si="0"/>
        <v>8210.2182842000002</v>
      </c>
      <c r="C9" s="33"/>
      <c r="D9" s="37">
        <f>IF(ISERROR(TER_gezond_gas_kWh/1000),0,TER_gezond_gas_kWh/1000)*0.902</f>
        <v>15302.385194052002</v>
      </c>
      <c r="E9" s="33">
        <f>$C$29*'E Balans VL '!I10/100/3.6*1000000</f>
        <v>0.45847921868192265</v>
      </c>
      <c r="F9" s="33">
        <f>$C$29*('E Balans VL '!L10+'E Balans VL '!N10)/100/3.6*1000000</f>
        <v>1087.8233794881198</v>
      </c>
      <c r="G9" s="34"/>
      <c r="H9" s="33"/>
      <c r="I9" s="33"/>
      <c r="J9" s="33">
        <f>$C$29*('E Balans VL '!D10+'E Balans VL '!E10)/100/3.6*1000000</f>
        <v>0</v>
      </c>
      <c r="K9" s="33"/>
      <c r="L9" s="33"/>
      <c r="M9" s="33"/>
      <c r="N9" s="33">
        <f>$C$29*'E Balans VL '!Y10/100/3.6*1000000</f>
        <v>87.022795467916225</v>
      </c>
      <c r="O9" s="33"/>
      <c r="P9" s="33"/>
      <c r="R9" s="32"/>
    </row>
    <row r="10" spans="1:18">
      <c r="A10" s="32" t="s">
        <v>49</v>
      </c>
      <c r="B10" s="37">
        <f t="shared" si="0"/>
        <v>5691.8252153000003</v>
      </c>
      <c r="C10" s="33"/>
      <c r="D10" s="37">
        <f>IF(ISERROR(TER_ander_gas_kWh/1000),0,TER_ander_gas_kWh/1000)*0.902</f>
        <v>5840.2273036866009</v>
      </c>
      <c r="E10" s="33">
        <f>$C$30*'E Balans VL '!I14/100/3.6*1000000</f>
        <v>73.500959145885915</v>
      </c>
      <c r="F10" s="33">
        <f>$C$30*('E Balans VL '!L14+'E Balans VL '!N14)/100/3.6*1000000</f>
        <v>3757.010623606282</v>
      </c>
      <c r="G10" s="34"/>
      <c r="H10" s="33"/>
      <c r="I10" s="33"/>
      <c r="J10" s="33">
        <f>$C$30*('E Balans VL '!D14+'E Balans VL '!E14)/100/3.6*1000000</f>
        <v>6.8951990701995591E-2</v>
      </c>
      <c r="K10" s="33"/>
      <c r="L10" s="33"/>
      <c r="M10" s="33"/>
      <c r="N10" s="33">
        <f>$C$30*'E Balans VL '!Y14/100/3.6*1000000</f>
        <v>2400.2195186358767</v>
      </c>
      <c r="O10" s="33"/>
      <c r="P10" s="33"/>
      <c r="R10" s="32"/>
    </row>
    <row r="11" spans="1:18">
      <c r="A11" s="32" t="s">
        <v>54</v>
      </c>
      <c r="B11" s="37">
        <f t="shared" si="0"/>
        <v>2834.9118539999999</v>
      </c>
      <c r="C11" s="33"/>
      <c r="D11" s="37">
        <f>IF(ISERROR(TER_onderwijs_gas_kWh/1000),0,TER_onderwijs_gas_kWh/1000)*0.902</f>
        <v>10987.19131928</v>
      </c>
      <c r="E11" s="33">
        <f>$C$31*'E Balans VL '!I11/100/3.6*1000000</f>
        <v>38.150880822293949</v>
      </c>
      <c r="F11" s="33">
        <f>$C$31*('E Balans VL '!L11+'E Balans VL '!N11)/100/3.6*1000000</f>
        <v>443.03229754057571</v>
      </c>
      <c r="G11" s="34"/>
      <c r="H11" s="33"/>
      <c r="I11" s="33"/>
      <c r="J11" s="33">
        <f>$C$31*('E Balans VL '!D11+'E Balans VL '!E11)/100/3.6*1000000</f>
        <v>0</v>
      </c>
      <c r="K11" s="33"/>
      <c r="L11" s="33"/>
      <c r="M11" s="33"/>
      <c r="N11" s="33">
        <f>$C$31*'E Balans VL '!Y11/100/3.6*1000000</f>
        <v>6.5459458041645293</v>
      </c>
      <c r="O11" s="33"/>
      <c r="P11" s="33"/>
      <c r="R11" s="32"/>
    </row>
    <row r="12" spans="1:18">
      <c r="A12" s="32" t="s">
        <v>249</v>
      </c>
      <c r="B12" s="37">
        <f t="shared" si="0"/>
        <v>3021.5834649999997</v>
      </c>
      <c r="C12" s="33"/>
      <c r="D12" s="37">
        <f>IF(ISERROR(TER_rest_gas_kWh/1000),0,TER_rest_gas_kWh/1000)*0.902</f>
        <v>5324.6626788432004</v>
      </c>
      <c r="E12" s="33">
        <f>$C$32*'E Balans VL '!I8/100/3.6*1000000</f>
        <v>40.87345097889748</v>
      </c>
      <c r="F12" s="33">
        <f>$C$32*('E Balans VL '!L8+'E Balans VL '!N8)/100/3.6*1000000</f>
        <v>722.44083689199726</v>
      </c>
      <c r="G12" s="34"/>
      <c r="H12" s="33"/>
      <c r="I12" s="33"/>
      <c r="J12" s="33">
        <f>$C$32*('E Balans VL '!D8+'E Balans VL '!E8)/100/3.6*1000000</f>
        <v>6.6151577755334074E-3</v>
      </c>
      <c r="K12" s="33"/>
      <c r="L12" s="33"/>
      <c r="M12" s="33"/>
      <c r="N12" s="33">
        <f>$C$32*'E Balans VL '!Y8/100/3.6*1000000</f>
        <v>235.33254372070238</v>
      </c>
      <c r="O12" s="33"/>
      <c r="P12" s="33"/>
      <c r="R12" s="32"/>
    </row>
    <row r="13" spans="1:18">
      <c r="A13" s="16" t="s">
        <v>477</v>
      </c>
      <c r="B13" s="242">
        <f ca="1">'lokale energieproductie'!N40+'lokale energieproductie'!N33</f>
        <v>630.00000000000011</v>
      </c>
      <c r="C13" s="242">
        <f ca="1">'lokale energieproductie'!O40+'lokale energieproductie'!O33</f>
        <v>900.00000000000023</v>
      </c>
      <c r="D13" s="300">
        <f ca="1">('lokale energieproductie'!P33+'lokale energieproductie'!P40)*(-1)</f>
        <v>-1800.0000000000005</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51718.056541500002</v>
      </c>
      <c r="C16" s="21">
        <f t="shared" ca="1" si="1"/>
        <v>900.00000000000023</v>
      </c>
      <c r="D16" s="21">
        <f t="shared" ca="1" si="1"/>
        <v>83640.81171379381</v>
      </c>
      <c r="E16" s="21">
        <f t="shared" si="1"/>
        <v>601.00217211282586</v>
      </c>
      <c r="F16" s="21">
        <f t="shared" ca="1" si="1"/>
        <v>10581.958546002046</v>
      </c>
      <c r="G16" s="21">
        <f t="shared" si="1"/>
        <v>0</v>
      </c>
      <c r="H16" s="21">
        <f t="shared" si="1"/>
        <v>0</v>
      </c>
      <c r="I16" s="21">
        <f t="shared" si="1"/>
        <v>0</v>
      </c>
      <c r="J16" s="21">
        <f t="shared" si="1"/>
        <v>7.5567148477529003E-2</v>
      </c>
      <c r="K16" s="21">
        <f t="shared" si="1"/>
        <v>0</v>
      </c>
      <c r="L16" s="21">
        <f t="shared" ca="1" si="1"/>
        <v>0</v>
      </c>
      <c r="M16" s="21">
        <f t="shared" si="1"/>
        <v>0</v>
      </c>
      <c r="N16" s="21">
        <f t="shared" ca="1" si="1"/>
        <v>2762.4936389485129</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0.21354074973073212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11043.912568488306</v>
      </c>
      <c r="C20" s="23">
        <f t="shared" ref="C20:P20" ca="1" si="2">C16*C18</f>
        <v>213.88235294117655</v>
      </c>
      <c r="D20" s="23">
        <f t="shared" ca="1" si="2"/>
        <v>16895.443966186351</v>
      </c>
      <c r="E20" s="23">
        <f t="shared" si="2"/>
        <v>136.42749306961147</v>
      </c>
      <c r="F20" s="23">
        <f t="shared" ca="1" si="2"/>
        <v>2825.3829317825466</v>
      </c>
      <c r="G20" s="23">
        <f t="shared" si="2"/>
        <v>0</v>
      </c>
      <c r="H20" s="23">
        <f t="shared" si="2"/>
        <v>0</v>
      </c>
      <c r="I20" s="23">
        <f t="shared" si="2"/>
        <v>0</v>
      </c>
      <c r="J20" s="23">
        <f t="shared" si="2"/>
        <v>2.6750770561045266E-2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14584.738953</v>
      </c>
      <c r="C26" s="39">
        <f>IF(ISERROR(B26*3.6/1000000/'E Balans VL '!Z12*100),0,B26*3.6/1000000/'E Balans VL '!Z12*100)</f>
        <v>0.39132621327638917</v>
      </c>
      <c r="D26" s="232" t="s">
        <v>621</v>
      </c>
      <c r="F26" s="6"/>
    </row>
    <row r="27" spans="1:18">
      <c r="A27" s="227" t="s">
        <v>52</v>
      </c>
      <c r="B27" s="33">
        <f>IF(ISERROR(TER_horeca_ele_kWh/1000),0,TER_horeca_ele_kWh/1000)</f>
        <v>4970.1897719999997</v>
      </c>
      <c r="C27" s="39">
        <f>IF(ISERROR(B27*3.6/1000000/'E Balans VL '!Z9*100),0,B27*3.6/1000000/'E Balans VL '!Z9*100)</f>
        <v>0.39484685968744232</v>
      </c>
      <c r="D27" s="232" t="s">
        <v>621</v>
      </c>
      <c r="F27" s="6"/>
    </row>
    <row r="28" spans="1:18">
      <c r="A28" s="167" t="s">
        <v>51</v>
      </c>
      <c r="B28" s="33">
        <f>IF(ISERROR(TER_handel_ele_kWh/1000),0,TER_handel_ele_kWh/1000)</f>
        <v>11774.588997999999</v>
      </c>
      <c r="C28" s="39">
        <f>IF(ISERROR(B28*3.6/1000000/'E Balans VL '!Z13*100),0,B28*3.6/1000000/'E Balans VL '!Z13*100)</f>
        <v>0.34440533574142568</v>
      </c>
      <c r="D28" s="232" t="s">
        <v>621</v>
      </c>
      <c r="F28" s="6"/>
    </row>
    <row r="29" spans="1:18">
      <c r="A29" s="227" t="s">
        <v>50</v>
      </c>
      <c r="B29" s="33">
        <f>IF(ISERROR(TER_gezond_ele_kWh/1000),0,TER_gezond_ele_kWh/1000)</f>
        <v>8210.2182842000002</v>
      </c>
      <c r="C29" s="39">
        <f>IF(ISERROR(B29*3.6/1000000/'E Balans VL '!Z10*100),0,B29*3.6/1000000/'E Balans VL '!Z10*100)</f>
        <v>0.87139895996598582</v>
      </c>
      <c r="D29" s="232" t="s">
        <v>621</v>
      </c>
      <c r="F29" s="6"/>
    </row>
    <row r="30" spans="1:18">
      <c r="A30" s="227" t="s">
        <v>49</v>
      </c>
      <c r="B30" s="33">
        <f>IF(ISERROR(TER_ander_ele_kWh/1000),0,TER_ander_ele_kWh/1000)</f>
        <v>5691.8252153000003</v>
      </c>
      <c r="C30" s="39">
        <f>IF(ISERROR(B30*3.6/1000000/'E Balans VL '!Z14*100),0,B30*3.6/1000000/'E Balans VL '!Z14*100)</f>
        <v>0.26474740457250867</v>
      </c>
      <c r="D30" s="232" t="s">
        <v>621</v>
      </c>
      <c r="F30" s="6"/>
    </row>
    <row r="31" spans="1:18">
      <c r="A31" s="227" t="s">
        <v>54</v>
      </c>
      <c r="B31" s="33">
        <f>IF(ISERROR(TER_onderwijs_ele_kWh/1000),0,TER_onderwijs_ele_kWh/1000)</f>
        <v>2834.9118539999999</v>
      </c>
      <c r="C31" s="39">
        <f>IF(ISERROR(B31*3.6/1000000/'E Balans VL '!Z11*100),0,B31*3.6/1000000/'E Balans VL '!Z11*100)</f>
        <v>0.70951968149368128</v>
      </c>
      <c r="D31" s="232" t="s">
        <v>621</v>
      </c>
    </row>
    <row r="32" spans="1:18">
      <c r="A32" s="227" t="s">
        <v>249</v>
      </c>
      <c r="B32" s="33">
        <f>IF(ISERROR(TER_rest_ele_kWh/1000),0,TER_rest_ele_kWh/1000)</f>
        <v>3021.5834649999997</v>
      </c>
      <c r="C32" s="39">
        <f>IF(ISERROR(B32*3.6/1000000/'E Balans VL '!Z8*100),0,B32*3.6/1000000/'E Balans VL '!Z8*100)</f>
        <v>2.5399496578413252E-2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3530.9868336700001</v>
      </c>
      <c r="C5" s="17">
        <f>IF(ISERROR('Eigen informatie GS &amp; warmtenet'!B59),0,'Eigen informatie GS &amp; warmtenet'!B59)</f>
        <v>0</v>
      </c>
      <c r="D5" s="30">
        <f>SUM(D6:D15)</f>
        <v>4647.0142776901803</v>
      </c>
      <c r="E5" s="17">
        <f>SUM(E6:E15)</f>
        <v>539.99262271590112</v>
      </c>
      <c r="F5" s="17">
        <f>SUM(F6:F15)</f>
        <v>2008.2221891258214</v>
      </c>
      <c r="G5" s="18"/>
      <c r="H5" s="17"/>
      <c r="I5" s="17"/>
      <c r="J5" s="17">
        <f>SUM(J6:J15)</f>
        <v>18.663055627349042</v>
      </c>
      <c r="K5" s="17"/>
      <c r="L5" s="17"/>
      <c r="M5" s="17"/>
      <c r="N5" s="17">
        <f>SUM(N6:N15)</f>
        <v>578.73961020192417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143.26695985000001</v>
      </c>
      <c r="C8" s="33"/>
      <c r="D8" s="37">
        <f>IF( ISERROR(IND_metaal_Gas_kWH/1000),0,IND_metaal_Gas_kWH/1000)*0.902</f>
        <v>0</v>
      </c>
      <c r="E8" s="33">
        <f>C30*'E Balans VL '!I18/100/3.6*1000000</f>
        <v>5.1551786273366789</v>
      </c>
      <c r="F8" s="33">
        <f>C30*'E Balans VL '!L18/100/3.6*1000000+C30*'E Balans VL '!N18/100/3.6*1000000</f>
        <v>62.560037151327194</v>
      </c>
      <c r="G8" s="34"/>
      <c r="H8" s="33"/>
      <c r="I8" s="33"/>
      <c r="J8" s="40">
        <f>C30*'E Balans VL '!D18/100/3.6*1000000+C30*'E Balans VL '!E18/100/3.6*1000000</f>
        <v>0</v>
      </c>
      <c r="K8" s="33"/>
      <c r="L8" s="33"/>
      <c r="M8" s="33"/>
      <c r="N8" s="33">
        <f>C30*'E Balans VL '!Y18/100/3.6*1000000</f>
        <v>7.1804426674665347</v>
      </c>
      <c r="O8" s="33"/>
      <c r="P8" s="33"/>
      <c r="R8" s="32"/>
    </row>
    <row r="9" spans="1:18">
      <c r="A9" s="6" t="s">
        <v>32</v>
      </c>
      <c r="B9" s="37">
        <f t="shared" si="0"/>
        <v>1938.8718702000001</v>
      </c>
      <c r="C9" s="33"/>
      <c r="D9" s="37">
        <f>IF( ISERROR(IND_andere_gas_kWh/1000),0,IND_andere_gas_kWh/1000)*0.902</f>
        <v>2811.9914645437998</v>
      </c>
      <c r="E9" s="33">
        <f>C31*'E Balans VL '!I19/100/3.6*1000000</f>
        <v>494.75623307027399</v>
      </c>
      <c r="F9" s="33">
        <f>C31*'E Balans VL '!L19/100/3.6*1000000+C31*'E Balans VL '!N19/100/3.6*1000000</f>
        <v>1669.2229489668905</v>
      </c>
      <c r="G9" s="34"/>
      <c r="H9" s="33"/>
      <c r="I9" s="33"/>
      <c r="J9" s="40">
        <f>C31*'E Balans VL '!D19/100/3.6*1000000+C31*'E Balans VL '!E19/100/3.6*1000000</f>
        <v>0</v>
      </c>
      <c r="K9" s="33"/>
      <c r="L9" s="33"/>
      <c r="M9" s="33"/>
      <c r="N9" s="33">
        <f>C31*'E Balans VL '!Y19/100/3.6*1000000</f>
        <v>152.95430243021255</v>
      </c>
      <c r="O9" s="33"/>
      <c r="P9" s="33"/>
      <c r="R9" s="32"/>
    </row>
    <row r="10" spans="1:18">
      <c r="A10" s="6" t="s">
        <v>40</v>
      </c>
      <c r="B10" s="37">
        <f t="shared" si="0"/>
        <v>914.29267218999996</v>
      </c>
      <c r="C10" s="33"/>
      <c r="D10" s="37">
        <f>IF( ISERROR(IND_voed_gas_kWh/1000),0,IND_voed_gas_kWh/1000)*0.902</f>
        <v>1280.0682393290001</v>
      </c>
      <c r="E10" s="33">
        <f>C32*'E Balans VL '!I20/100/3.6*1000000</f>
        <v>23.242575153788817</v>
      </c>
      <c r="F10" s="33">
        <f>C32*'E Balans VL '!L20/100/3.6*1000000+C32*'E Balans VL '!N20/100/3.6*1000000</f>
        <v>206.89070699996708</v>
      </c>
      <c r="G10" s="34"/>
      <c r="H10" s="33"/>
      <c r="I10" s="33"/>
      <c r="J10" s="40">
        <f>C32*'E Balans VL '!D20/100/3.6*1000000+C32*'E Balans VL '!E20/100/3.6*1000000</f>
        <v>0</v>
      </c>
      <c r="K10" s="33"/>
      <c r="L10" s="33"/>
      <c r="M10" s="33"/>
      <c r="N10" s="33">
        <f>C32*'E Balans VL '!Y20/100/3.6*1000000</f>
        <v>342.88453494893105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243.54158862</v>
      </c>
      <c r="C13" s="33"/>
      <c r="D13" s="37">
        <f>IF( ISERROR(IND_papier_gas_kWh/1000),0,IND_papier_gas_kWh/1000)*0.902</f>
        <v>0</v>
      </c>
      <c r="E13" s="33">
        <f>C35*'E Balans VL '!I23/100/3.6*1000000</f>
        <v>1.0444790230120113</v>
      </c>
      <c r="F13" s="33">
        <f>C35*'E Balans VL '!L23/100/3.6*1000000+C35*'E Balans VL '!N23/100/3.6*1000000</f>
        <v>6.1209560269907346</v>
      </c>
      <c r="G13" s="34"/>
      <c r="H13" s="33"/>
      <c r="I13" s="33"/>
      <c r="J13" s="40">
        <f>C35*'E Balans VL '!D23/100/3.6*1000000+C35*'E Balans VL '!E23/100/3.6*1000000</f>
        <v>16.303773587443629</v>
      </c>
      <c r="K13" s="33"/>
      <c r="L13" s="33"/>
      <c r="M13" s="33"/>
      <c r="N13" s="33">
        <f>C35*'E Balans VL '!Y23/100/3.6*1000000</f>
        <v>59.390940935020119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291.01374281000005</v>
      </c>
      <c r="C15" s="33"/>
      <c r="D15" s="37">
        <f>IF( ISERROR(IND_rest_gas_kWh/1000),0,IND_rest_gas_kWh/1000)*0.902</f>
        <v>554.95457381738004</v>
      </c>
      <c r="E15" s="33">
        <f>C37*'E Balans VL '!I15/100/3.6*1000000</f>
        <v>15.794156841489515</v>
      </c>
      <c r="F15" s="33">
        <f>C37*'E Balans VL '!L15/100/3.6*1000000+C37*'E Balans VL '!N15/100/3.6*1000000</f>
        <v>63.427539980645967</v>
      </c>
      <c r="G15" s="34"/>
      <c r="H15" s="33"/>
      <c r="I15" s="33"/>
      <c r="J15" s="40">
        <f>C37*'E Balans VL '!D15/100/3.6*1000000+C37*'E Balans VL '!E15/100/3.6*1000000</f>
        <v>2.3592820399054135</v>
      </c>
      <c r="K15" s="33"/>
      <c r="L15" s="33"/>
      <c r="M15" s="33"/>
      <c r="N15" s="33">
        <f>C37*'E Balans VL '!Y15/100/3.6*1000000</f>
        <v>16.329389220293894</v>
      </c>
      <c r="O15" s="33"/>
      <c r="P15" s="33"/>
      <c r="R15" s="32"/>
    </row>
    <row r="16" spans="1:18">
      <c r="A16" s="16" t="s">
        <v>477</v>
      </c>
      <c r="B16" s="242">
        <f>'lokale energieproductie'!N39+'lokale energieproductie'!N32</f>
        <v>534.15000000000009</v>
      </c>
      <c r="C16" s="242">
        <f>'lokale energieproductie'!O39+'lokale energieproductie'!O32</f>
        <v>763.07142857142867</v>
      </c>
      <c r="D16" s="300">
        <f>('lokale energieproductie'!P32+'lokale energieproductie'!P39)*(-1)</f>
        <v>-1526.1428571428573</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4065.1368336700002</v>
      </c>
      <c r="C18" s="21">
        <f>C5+C16</f>
        <v>763.07142857142867</v>
      </c>
      <c r="D18" s="21">
        <f>MAX((D5+D16),0)</f>
        <v>3120.8714205473229</v>
      </c>
      <c r="E18" s="21">
        <f>MAX((E5+E16),0)</f>
        <v>539.99262271590112</v>
      </c>
      <c r="F18" s="21">
        <f>MAX((F5+F16),0)</f>
        <v>2008.2221891258214</v>
      </c>
      <c r="G18" s="21"/>
      <c r="H18" s="21"/>
      <c r="I18" s="21"/>
      <c r="J18" s="21">
        <f>MAX((J5+J16),0)</f>
        <v>18.663055627349042</v>
      </c>
      <c r="K18" s="21"/>
      <c r="L18" s="21">
        <f>MAX((L5+L16),0)</f>
        <v>0</v>
      </c>
      <c r="M18" s="21"/>
      <c r="N18" s="21">
        <f>MAX((N5+N16),0)</f>
        <v>578.73961020192417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0.21354074973073212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868.07236721990625</v>
      </c>
      <c r="C22" s="23">
        <f ca="1">C18*C20</f>
        <v>181.34168067226895</v>
      </c>
      <c r="D22" s="23">
        <f>D18*D20</f>
        <v>630.41602695055929</v>
      </c>
      <c r="E22" s="23">
        <f>E18*E20</f>
        <v>122.57832535650955</v>
      </c>
      <c r="F22" s="23">
        <f>F18*F20</f>
        <v>536.19532449659437</v>
      </c>
      <c r="G22" s="23"/>
      <c r="H22" s="23"/>
      <c r="I22" s="23"/>
      <c r="J22" s="23">
        <f>J18*J20</f>
        <v>6.6067216920815603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143.26695985000001</v>
      </c>
      <c r="C30" s="39">
        <f>IF(ISERROR(B30*3.6/1000000/'E Balans VL '!Z18*100),0,B30*3.6/1000000/'E Balans VL '!Z18*100)</f>
        <v>3.0355197229548523E-2</v>
      </c>
      <c r="D30" s="232" t="s">
        <v>621</v>
      </c>
    </row>
    <row r="31" spans="1:18">
      <c r="A31" s="6" t="s">
        <v>32</v>
      </c>
      <c r="B31" s="37">
        <f>IF( ISERROR(IND_ander_ele_kWh/1000),0,IND_ander_ele_kWh/1000)</f>
        <v>1938.8718702000001</v>
      </c>
      <c r="C31" s="39">
        <f>IF(ISERROR(B31*3.6/1000000/'E Balans VL '!Z19*100),0,B31*3.6/1000000/'E Balans VL '!Z19*100)</f>
        <v>8.1611519545477226E-2</v>
      </c>
      <c r="D31" s="232" t="s">
        <v>621</v>
      </c>
    </row>
    <row r="32" spans="1:18">
      <c r="A32" s="167" t="s">
        <v>40</v>
      </c>
      <c r="B32" s="37">
        <f>IF( ISERROR(IND_voed_ele_kWh/1000),0,IND_voed_ele_kWh/1000)</f>
        <v>914.29267218999996</v>
      </c>
      <c r="C32" s="39">
        <f>IF(ISERROR(B32*3.6/1000000/'E Balans VL '!Z20*100),0,B32*3.6/1000000/'E Balans VL '!Z20*100)</f>
        <v>0.15274293539946435</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243.54158862</v>
      </c>
      <c r="C35" s="39">
        <f>IF(ISERROR(B35*3.6/1000000/'E Balans VL '!Z22*100),0,B35*3.6/1000000/'E Balans VL '!Z22*100)</f>
        <v>3.0870209773493303E-2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291.01374281000005</v>
      </c>
      <c r="C37" s="39">
        <f>IF(ISERROR(B37*3.6/1000000/'E Balans VL '!Z15*100),0,B37*3.6/1000000/'E Balans VL '!Z15*100)</f>
        <v>2.3494666313911535E-3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88.58418282800001</v>
      </c>
      <c r="C5" s="17">
        <f>'Eigen informatie GS &amp; warmtenet'!B60</f>
        <v>0</v>
      </c>
      <c r="D5" s="30">
        <f>IF(ISERROR(SUM(LB_lb_gas_kWh,LB_rest_gas_kWh)/1000),0,SUM(LB_lb_gas_kWh,LB_rest_gas_kWh)/1000)*0.902</f>
        <v>224.60908417287999</v>
      </c>
      <c r="E5" s="17">
        <f>B17*'E Balans VL '!I25/3.6*1000000/100</f>
        <v>1.754928844870401</v>
      </c>
      <c r="F5" s="17">
        <f>B17*('E Balans VL '!L25/3.6*1000000+'E Balans VL '!N25/3.6*1000000)/100</f>
        <v>323.0415303382299</v>
      </c>
      <c r="G5" s="18"/>
      <c r="H5" s="17"/>
      <c r="I5" s="17"/>
      <c r="J5" s="17">
        <f>('E Balans VL '!D25+'E Balans VL '!E25)/3.6*1000000*landbouw!B17/100</f>
        <v>21.033453979368197</v>
      </c>
      <c r="K5" s="17"/>
      <c r="L5" s="17">
        <f>L6*(-1)</f>
        <v>0</v>
      </c>
      <c r="M5" s="17"/>
      <c r="N5" s="17">
        <f>N6*(-1)</f>
        <v>0</v>
      </c>
      <c r="O5" s="17"/>
      <c r="P5" s="17"/>
      <c r="R5" s="32"/>
    </row>
    <row r="6" spans="1:18">
      <c r="A6" s="16" t="s">
        <v>477</v>
      </c>
      <c r="B6" s="17" t="s">
        <v>204</v>
      </c>
      <c r="C6" s="17">
        <f>'lokale energieproductie'!O41+'lokale energieproductie'!O34</f>
        <v>0</v>
      </c>
      <c r="D6" s="300">
        <f>('lokale energieproductie'!P34+'lokale energieproductie'!P41)*(-1)</f>
        <v>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88.58418282800001</v>
      </c>
      <c r="C8" s="21">
        <f>C5+C6</f>
        <v>0</v>
      </c>
      <c r="D8" s="21">
        <f>MAX((D5+D6),0)</f>
        <v>224.60908417287999</v>
      </c>
      <c r="E8" s="21">
        <f>MAX((E5+E6),0)</f>
        <v>1.754928844870401</v>
      </c>
      <c r="F8" s="21">
        <f>MAX((F5+F6),0)</f>
        <v>323.0415303382299</v>
      </c>
      <c r="G8" s="21"/>
      <c r="H8" s="21"/>
      <c r="I8" s="21"/>
      <c r="J8" s="21">
        <f>MAX((J5+J6),0)</f>
        <v>21.033453979368197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0.21354074973073212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18.916332815375366</v>
      </c>
      <c r="C12" s="23">
        <f ca="1">C8*C10</f>
        <v>0</v>
      </c>
      <c r="D12" s="23">
        <f>D8*D10</f>
        <v>45.371035002921758</v>
      </c>
      <c r="E12" s="23">
        <f>E8*E10</f>
        <v>0.39836884778558107</v>
      </c>
      <c r="F12" s="23">
        <f>F8*F10</f>
        <v>86.252088600307388</v>
      </c>
      <c r="G12" s="23"/>
      <c r="H12" s="23"/>
      <c r="I12" s="23"/>
      <c r="J12" s="23">
        <f>J8*J10</f>
        <v>7.4458427086963415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1.2490956547218018E-2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3.9312442531058407</v>
      </c>
      <c r="C26" s="242">
        <f>B26*'GWP N2O_CH4'!B5</f>
        <v>82.556129315222648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0.39338787669651792</v>
      </c>
      <c r="C27" s="242">
        <f>B27*'GWP N2O_CH4'!B5</f>
        <v>8.2611454106268756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2.544509029323886E-2</v>
      </c>
      <c r="C28" s="242">
        <f>B28*'GWP N2O_CH4'!B4</f>
        <v>7.8879779909040471</v>
      </c>
      <c r="D28" s="50"/>
    </row>
    <row r="29" spans="1:4">
      <c r="A29" s="41" t="s">
        <v>266</v>
      </c>
      <c r="B29" s="242">
        <f>B34*'ha_N2O bodem landbouw'!B4</f>
        <v>1.9731868122063412</v>
      </c>
      <c r="C29" s="242">
        <f>B29*'GWP N2O_CH4'!B4</f>
        <v>611.68791178396577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4.4407425883694415E-4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1.863699887144021E-4</v>
      </c>
      <c r="C5" s="427" t="s">
        <v>204</v>
      </c>
      <c r="D5" s="412">
        <f>SUM(D6:D11)</f>
        <v>3.1650238171217074E-4</v>
      </c>
      <c r="E5" s="412">
        <f>SUM(E6:E11)</f>
        <v>1.4621682777940523E-3</v>
      </c>
      <c r="F5" s="425" t="s">
        <v>204</v>
      </c>
      <c r="G5" s="412">
        <f>SUM(G6:G11)</f>
        <v>0.51119311379785093</v>
      </c>
      <c r="H5" s="412">
        <f>SUM(H6:H11)</f>
        <v>0.10960587502533541</v>
      </c>
      <c r="I5" s="427" t="s">
        <v>204</v>
      </c>
      <c r="J5" s="427" t="s">
        <v>204</v>
      </c>
      <c r="K5" s="427" t="s">
        <v>204</v>
      </c>
      <c r="L5" s="427" t="s">
        <v>204</v>
      </c>
      <c r="M5" s="412">
        <f>SUM(M6:M11)</f>
        <v>1.9367015734502911E-2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1.0084610861533391E-4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1.5890618260319545E-4</v>
      </c>
      <c r="E6" s="818">
        <f>vkm_GW_PW*SUMIFS(TableVerdeelsleutelVkm[LPG],TableVerdeelsleutelVkm[Voertuigtype],"Lichte voertuigen")*SUMIFS(TableECFTransport[EnergieConsumptieFactor (PJ per km)],TableECFTransport[Index],CONCATENATE($A6,"_LPG_LPG"))</f>
        <v>7.2536931043214181E-4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0.19585112552417513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5.5302582533186588E-2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7.8189210158115443E-3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1.8060622154606858E-6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6.2252914270849231E-2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1.2647209683704077E-6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1.9584844100794629E-3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5.2754098667711212E-5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1.1775798305118034E-4</v>
      </c>
      <c r="E8" s="415">
        <f>vkm_NGW_PW*SUMIFS(TableVerdeelsleutelVkm[LPG],TableVerdeelsleutelVkm[Voertuigtype],"Lichte voertuigen")*SUMIFS(TableECFTransport[EnergieConsumptieFactor (PJ per km)],TableECFTransport[Index],CONCATENATE($A8,"_LPG_LPG"))</f>
        <v>5.1282324575517102E-4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0.12910082781087698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3.9762731437647053E-2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5.2532256280838404E-3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1.0678356428675871E-7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4.7325201363523032E-3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9.025741088955198E-8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1.4888549444260429E-4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2.8895129897719683E-5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3.9838216057794974E-5</v>
      </c>
      <c r="E10" s="415">
        <f>vkm_SW_PW*SUMIFS(TableVerdeelsleutelVkm[LPG],TableVerdeelsleutelVkm[Voertuigtype],"Lichte voertuigen")*SUMIFS(TableECFTransport[EnergieConsumptieFactor (PJ per km)],TableECFTransport[Index],CONCATENATE($A10,"_LPG_LPG"))</f>
        <v>2.2397572160673965E-4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5.4822358209116261E-2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1.4537792079228668E-2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2.1604142894434113E-3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1.9618057538898526E-6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6.4433367846481127E-2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1.4139968938298979E-6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2.0270848966420485E-3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51.769441309556143</v>
      </c>
      <c r="C14" s="21"/>
      <c r="D14" s="21">
        <f t="shared" ref="D14:M14" si="0">((D5)*10^9/3600)+D12</f>
        <v>87.917328253380759</v>
      </c>
      <c r="E14" s="21">
        <f t="shared" si="0"/>
        <v>406.15785494279231</v>
      </c>
      <c r="F14" s="21"/>
      <c r="G14" s="21">
        <f t="shared" si="0"/>
        <v>141998.08716606969</v>
      </c>
      <c r="H14" s="21">
        <f t="shared" si="0"/>
        <v>30446.076395926499</v>
      </c>
      <c r="I14" s="21"/>
      <c r="J14" s="21"/>
      <c r="K14" s="21"/>
      <c r="L14" s="21"/>
      <c r="M14" s="21">
        <f t="shared" si="0"/>
        <v>5379.7265929174755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0.21354074973073212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11.054885310383753</v>
      </c>
      <c r="C18" s="23"/>
      <c r="D18" s="23">
        <f t="shared" ref="D18:M18" si="1">D14*D16</f>
        <v>17.759300307182915</v>
      </c>
      <c r="E18" s="23">
        <f t="shared" si="1"/>
        <v>92.197833072013864</v>
      </c>
      <c r="F18" s="23"/>
      <c r="G18" s="23">
        <f t="shared" si="1"/>
        <v>37913.489273340609</v>
      </c>
      <c r="H18" s="23">
        <f t="shared" si="1"/>
        <v>7581.0730225856978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7.3428651310798252E-5</v>
      </c>
      <c r="C50" s="311">
        <f t="shared" ref="C50:P50" si="2">SUM(C51:C52)</f>
        <v>0</v>
      </c>
      <c r="D50" s="311">
        <f t="shared" si="2"/>
        <v>0</v>
      </c>
      <c r="E50" s="311">
        <f t="shared" si="2"/>
        <v>0</v>
      </c>
      <c r="F50" s="311">
        <f t="shared" si="2"/>
        <v>0</v>
      </c>
      <c r="G50" s="311">
        <f t="shared" si="2"/>
        <v>1.3092483986910408E-2</v>
      </c>
      <c r="H50" s="311">
        <f t="shared" si="2"/>
        <v>0</v>
      </c>
      <c r="I50" s="311">
        <f t="shared" si="2"/>
        <v>0</v>
      </c>
      <c r="J50" s="311">
        <f t="shared" si="2"/>
        <v>0</v>
      </c>
      <c r="K50" s="311">
        <f t="shared" si="2"/>
        <v>0</v>
      </c>
      <c r="L50" s="311">
        <f t="shared" si="2"/>
        <v>0</v>
      </c>
      <c r="M50" s="311">
        <f t="shared" si="2"/>
        <v>4.086966214881576E-4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7.3428651310798252E-5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1.3092483986910408E-2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4.086966214881576E-4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20.396847586332846</v>
      </c>
      <c r="C54" s="21">
        <f t="shared" ref="C54:P54" si="3">(C50)*10^9/3600</f>
        <v>0</v>
      </c>
      <c r="D54" s="21">
        <f t="shared" si="3"/>
        <v>0</v>
      </c>
      <c r="E54" s="21">
        <f t="shared" si="3"/>
        <v>0</v>
      </c>
      <c r="F54" s="21">
        <f t="shared" si="3"/>
        <v>0</v>
      </c>
      <c r="G54" s="21">
        <f t="shared" si="3"/>
        <v>3636.8011074751134</v>
      </c>
      <c r="H54" s="21">
        <f t="shared" si="3"/>
        <v>0</v>
      </c>
      <c r="I54" s="21">
        <f t="shared" si="3"/>
        <v>0</v>
      </c>
      <c r="J54" s="21">
        <f t="shared" si="3"/>
        <v>0</v>
      </c>
      <c r="K54" s="21">
        <f t="shared" si="3"/>
        <v>0</v>
      </c>
      <c r="L54" s="21">
        <f t="shared" si="3"/>
        <v>0</v>
      </c>
      <c r="M54" s="21">
        <f t="shared" si="3"/>
        <v>113.526839302266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0.21354074973073212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4.3555581257289901</v>
      </c>
      <c r="C58" s="23">
        <f t="shared" ref="C58:P58" ca="1" si="4">C54*C56</f>
        <v>0</v>
      </c>
      <c r="D58" s="23">
        <f t="shared" si="4"/>
        <v>0</v>
      </c>
      <c r="E58" s="23">
        <f t="shared" si="4"/>
        <v>0</v>
      </c>
      <c r="F58" s="23">
        <f t="shared" si="4"/>
        <v>0</v>
      </c>
      <c r="G58" s="23">
        <f t="shared" si="4"/>
        <v>971.0258956958553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4527.8069255134214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1164.1500000000001</v>
      </c>
      <c r="C8" s="534">
        <f>B50</f>
        <v>1369.5882352941178</v>
      </c>
      <c r="D8" s="961"/>
      <c r="E8" s="961">
        <f>E50</f>
        <v>0</v>
      </c>
      <c r="F8" s="962"/>
      <c r="G8" s="535"/>
      <c r="H8" s="961">
        <f>I50</f>
        <v>0</v>
      </c>
      <c r="I8" s="961">
        <f>G50+F50</f>
        <v>0</v>
      </c>
      <c r="J8" s="961">
        <f>H50+D50+C50</f>
        <v>0</v>
      </c>
      <c r="K8" s="961"/>
      <c r="L8" s="961"/>
      <c r="M8" s="961"/>
      <c r="N8" s="536"/>
      <c r="O8" s="537">
        <f>C8*$C$12+D8*$D$12+E8*$E$12+F8*$F$12+G8*$G$12+H8*$H$12+I8*$I$12+J8*$J$12</f>
        <v>276.65682352941184</v>
      </c>
      <c r="P8" s="1205"/>
      <c r="Q8" s="1206"/>
      <c r="S8" s="925"/>
      <c r="T8" s="1180"/>
      <c r="U8" s="1180"/>
    </row>
    <row r="9" spans="1:21" s="523" customFormat="1" ht="17.45" customHeight="1" thickBot="1">
      <c r="A9" s="538" t="s">
        <v>237</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5691.9569255134211</v>
      </c>
      <c r="C10" s="547">
        <f t="shared" ref="C10:L10" si="0">SUM(C8:C9)</f>
        <v>1369.5882352941178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276.65682352941184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1663.0714285714289</v>
      </c>
      <c r="C17" s="559">
        <f>B51</f>
        <v>1956.55462184874</v>
      </c>
      <c r="D17" s="560"/>
      <c r="E17" s="560">
        <f>E51</f>
        <v>0</v>
      </c>
      <c r="F17" s="967"/>
      <c r="G17" s="561"/>
      <c r="H17" s="559">
        <f>I51</f>
        <v>0</v>
      </c>
      <c r="I17" s="560">
        <f>G51+F51</f>
        <v>0</v>
      </c>
      <c r="J17" s="560">
        <f>H51+D51+C51</f>
        <v>0</v>
      </c>
      <c r="K17" s="560"/>
      <c r="L17" s="560"/>
      <c r="M17" s="560"/>
      <c r="N17" s="968"/>
      <c r="O17" s="562">
        <f>C17*$C$22+E17*$E$22+H17*$H$22+I17*$I$22+J17*$J$22+D17*$D$22+F17*$F$22+G17*$G$22+K17*$K$22+L17*$L$22</f>
        <v>395.2240336134455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1663.0714285714289</v>
      </c>
      <c r="C20" s="546">
        <f>SUM(C17:C19)</f>
        <v>1956.55462184874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395.2240336134455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11008</v>
      </c>
      <c r="C28" s="724">
        <v>2930</v>
      </c>
      <c r="D28" s="617"/>
      <c r="E28" s="616"/>
      <c r="F28" s="616"/>
      <c r="G28" s="616" t="s">
        <v>887</v>
      </c>
      <c r="H28" s="616" t="s">
        <v>888</v>
      </c>
      <c r="I28" s="616"/>
      <c r="J28" s="723"/>
      <c r="K28" s="723"/>
      <c r="L28" s="616" t="s">
        <v>889</v>
      </c>
      <c r="M28" s="616">
        <v>53.7</v>
      </c>
      <c r="N28" s="616">
        <v>241.65000000000003</v>
      </c>
      <c r="O28" s="616">
        <v>345.21428571428578</v>
      </c>
      <c r="P28" s="616">
        <v>690.42857142857156</v>
      </c>
      <c r="Q28" s="616">
        <v>0</v>
      </c>
      <c r="R28" s="616">
        <v>0</v>
      </c>
      <c r="S28" s="616">
        <v>0</v>
      </c>
      <c r="T28" s="616">
        <v>0</v>
      </c>
      <c r="U28" s="616">
        <v>0</v>
      </c>
      <c r="V28" s="616">
        <v>0</v>
      </c>
      <c r="W28" s="616">
        <v>0</v>
      </c>
      <c r="X28" s="616"/>
      <c r="Y28" s="616">
        <v>16000</v>
      </c>
      <c r="Z28" s="616" t="s">
        <v>32</v>
      </c>
      <c r="AA28" s="618" t="s">
        <v>376</v>
      </c>
    </row>
    <row r="29" spans="1:27" s="570" customFormat="1" ht="51" hidden="1">
      <c r="A29" s="569"/>
      <c r="B29" s="724">
        <v>11008</v>
      </c>
      <c r="C29" s="724">
        <v>2930</v>
      </c>
      <c r="D29" s="617"/>
      <c r="E29" s="616"/>
      <c r="F29" s="616"/>
      <c r="G29" s="616" t="s">
        <v>887</v>
      </c>
      <c r="H29" s="616" t="s">
        <v>888</v>
      </c>
      <c r="I29" s="616"/>
      <c r="J29" s="723"/>
      <c r="K29" s="723"/>
      <c r="L29" s="616" t="s">
        <v>889</v>
      </c>
      <c r="M29" s="616">
        <v>140</v>
      </c>
      <c r="N29" s="616">
        <v>630.00000000000011</v>
      </c>
      <c r="O29" s="616">
        <v>900.00000000000023</v>
      </c>
      <c r="P29" s="616">
        <v>1800.0000000000005</v>
      </c>
      <c r="Q29" s="616">
        <v>0</v>
      </c>
      <c r="R29" s="616">
        <v>0</v>
      </c>
      <c r="S29" s="616">
        <v>0</v>
      </c>
      <c r="T29" s="616">
        <v>0</v>
      </c>
      <c r="U29" s="616">
        <v>0</v>
      </c>
      <c r="V29" s="616">
        <v>0</v>
      </c>
      <c r="W29" s="616">
        <v>0</v>
      </c>
      <c r="X29" s="616"/>
      <c r="Y29" s="616">
        <v>1500</v>
      </c>
      <c r="Z29" s="616" t="s">
        <v>50</v>
      </c>
      <c r="AA29" s="618" t="s">
        <v>149</v>
      </c>
    </row>
    <row r="30" spans="1:27" s="570" customFormat="1" ht="25.5" hidden="1">
      <c r="A30" s="569"/>
      <c r="B30" s="724">
        <v>11008</v>
      </c>
      <c r="C30" s="724">
        <v>2930</v>
      </c>
      <c r="D30" s="617"/>
      <c r="E30" s="616"/>
      <c r="F30" s="616"/>
      <c r="G30" s="616" t="s">
        <v>887</v>
      </c>
      <c r="H30" s="616" t="s">
        <v>888</v>
      </c>
      <c r="I30" s="616"/>
      <c r="J30" s="723"/>
      <c r="K30" s="723"/>
      <c r="L30" s="616" t="s">
        <v>889</v>
      </c>
      <c r="M30" s="616">
        <v>65</v>
      </c>
      <c r="N30" s="616">
        <v>292.5</v>
      </c>
      <c r="O30" s="616">
        <v>417.85714285714289</v>
      </c>
      <c r="P30" s="616">
        <v>835.71428571428578</v>
      </c>
      <c r="Q30" s="616">
        <v>0</v>
      </c>
      <c r="R30" s="616">
        <v>0</v>
      </c>
      <c r="S30" s="616">
        <v>0</v>
      </c>
      <c r="T30" s="616">
        <v>0</v>
      </c>
      <c r="U30" s="616">
        <v>0</v>
      </c>
      <c r="V30" s="616">
        <v>0</v>
      </c>
      <c r="W30" s="616">
        <v>0</v>
      </c>
      <c r="X30" s="616"/>
      <c r="Y30" s="616">
        <v>16000</v>
      </c>
      <c r="Z30" s="616" t="s">
        <v>32</v>
      </c>
      <c r="AA30" s="618" t="s">
        <v>376</v>
      </c>
    </row>
    <row r="31" spans="1:27" s="554" customFormat="1" hidden="1">
      <c r="A31" s="572" t="s">
        <v>269</v>
      </c>
      <c r="B31" s="573"/>
      <c r="C31" s="573"/>
      <c r="D31" s="573"/>
      <c r="E31" s="573"/>
      <c r="F31" s="573"/>
      <c r="G31" s="573"/>
      <c r="H31" s="573"/>
      <c r="I31" s="573"/>
      <c r="J31" s="573"/>
      <c r="K31" s="573"/>
      <c r="L31" s="574"/>
      <c r="M31" s="574">
        <f>SUM(M28:M30)</f>
        <v>258.7</v>
      </c>
      <c r="N31" s="574">
        <f>SUM(N28:N30)</f>
        <v>1164.1500000000001</v>
      </c>
      <c r="O31" s="574">
        <f>SUM(O28:O30)</f>
        <v>1663.0714285714289</v>
      </c>
      <c r="P31" s="574">
        <f>SUM(P28:P30)</f>
        <v>3326.1428571428578</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118.7</v>
      </c>
      <c r="N32" s="574">
        <f>SUMIF($AA$28:$AA$30,"industrie",N28:N30)</f>
        <v>534.15000000000009</v>
      </c>
      <c r="O32" s="574">
        <f>SUMIF($AA$28:$AA$30,"industrie",O28:O30)</f>
        <v>763.07142857142867</v>
      </c>
      <c r="P32" s="574">
        <f>SUMIF($AA$28:$AA$30,"industrie",P28:P30)</f>
        <v>1526.1428571428573</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140</v>
      </c>
      <c r="N33" s="574">
        <f ca="1">SUMIF($AA$28:AE30,"tertiair",N28:N30)</f>
        <v>630.00000000000011</v>
      </c>
      <c r="O33" s="574">
        <f ca="1">SUMIF($AA$28:AF30,"tertiair",O28:O30)</f>
        <v>900.00000000000023</v>
      </c>
      <c r="P33" s="574">
        <f ca="1">SUMIF($AA$28:AG30,"tertiair",P28:P30)</f>
        <v>1800.0000000000005</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0</v>
      </c>
      <c r="N34" s="579">
        <f>SUMIF($AA$28:$AA$30,"landbouw",N28:N30)</f>
        <v>0</v>
      </c>
      <c r="O34" s="579">
        <f>SUMIF($AA$28:$AA$30,"landbouw",O28:O30)</f>
        <v>0</v>
      </c>
      <c r="P34" s="579">
        <f>SUMIF($AA$28:$AA$30,"landbouw",P28:P30)</f>
        <v>0</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269</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276</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277</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278</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271</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272</v>
      </c>
      <c r="C46" s="596" t="s">
        <v>273</v>
      </c>
      <c r="D46" s="596"/>
      <c r="E46" s="596"/>
      <c r="F46" s="596"/>
      <c r="G46" s="596"/>
      <c r="H46" s="596"/>
      <c r="I46" s="597"/>
      <c r="J46" s="596"/>
      <c r="K46" s="596"/>
      <c r="L46" s="596"/>
      <c r="M46" s="596"/>
      <c r="N46" s="596"/>
      <c r="O46" s="596"/>
      <c r="P46" s="591"/>
    </row>
    <row r="47" spans="1:28">
      <c r="A47" s="593" t="s">
        <v>269</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522</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274</v>
      </c>
      <c r="B50" s="608">
        <f t="shared" ref="B50:I50" si="2">$C$47*P31</f>
        <v>1369.5882352941178</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275</v>
      </c>
      <c r="B51" s="611">
        <f t="shared" ref="B51:I51" si="3">$B$47*P31</f>
        <v>1956.55462184874</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53607.588541500001</v>
      </c>
      <c r="D10" s="930">
        <f ca="1">tertiair!C16</f>
        <v>900.00000000000023</v>
      </c>
      <c r="E10" s="930">
        <f ca="1">tertiair!D16</f>
        <v>83640.81171379381</v>
      </c>
      <c r="F10" s="930">
        <f>tertiair!E16</f>
        <v>601.00217211282586</v>
      </c>
      <c r="G10" s="930">
        <f ca="1">tertiair!F16</f>
        <v>10581.958546002046</v>
      </c>
      <c r="H10" s="930">
        <f>tertiair!G16</f>
        <v>0</v>
      </c>
      <c r="I10" s="930">
        <f>tertiair!H16</f>
        <v>0</v>
      </c>
      <c r="J10" s="930">
        <f>tertiair!I16</f>
        <v>0</v>
      </c>
      <c r="K10" s="930">
        <f>tertiair!J16</f>
        <v>7.5567148477529003E-2</v>
      </c>
      <c r="L10" s="930">
        <f>tertiair!K16</f>
        <v>0</v>
      </c>
      <c r="M10" s="930">
        <f ca="1">tertiair!L16</f>
        <v>0</v>
      </c>
      <c r="N10" s="930">
        <f>tertiair!M16</f>
        <v>0</v>
      </c>
      <c r="O10" s="930">
        <f ca="1">tertiair!N16</f>
        <v>2762.4936389485129</v>
      </c>
      <c r="P10" s="930">
        <f>tertiair!O16</f>
        <v>1.5633333333333335</v>
      </c>
      <c r="Q10" s="931">
        <f>tertiair!P16</f>
        <v>38.133333333333333</v>
      </c>
      <c r="R10" s="628">
        <f ca="1">SUM(C10:Q10)</f>
        <v>152133.62684617232</v>
      </c>
      <c r="S10" s="67"/>
    </row>
    <row r="11" spans="1:19" s="437" customFormat="1">
      <c r="A11" s="736" t="s">
        <v>214</v>
      </c>
      <c r="B11" s="741"/>
      <c r="C11" s="930">
        <f>huishoudens!B8</f>
        <v>71072.978976513274</v>
      </c>
      <c r="D11" s="930">
        <f>huishoudens!C8</f>
        <v>0</v>
      </c>
      <c r="E11" s="930">
        <f>huishoudens!D8</f>
        <v>238708.30923894304</v>
      </c>
      <c r="F11" s="930">
        <f>huishoudens!E8</f>
        <v>1522.4923486005712</v>
      </c>
      <c r="G11" s="930">
        <f>huishoudens!F8</f>
        <v>41393.553380268371</v>
      </c>
      <c r="H11" s="930">
        <f>huishoudens!G8</f>
        <v>0</v>
      </c>
      <c r="I11" s="930">
        <f>huishoudens!H8</f>
        <v>0</v>
      </c>
      <c r="J11" s="930">
        <f>huishoudens!I8</f>
        <v>0</v>
      </c>
      <c r="K11" s="930">
        <f>huishoudens!J8</f>
        <v>763.37105838131083</v>
      </c>
      <c r="L11" s="930">
        <f>huishoudens!K8</f>
        <v>0</v>
      </c>
      <c r="M11" s="930">
        <f>huishoudens!L8</f>
        <v>0</v>
      </c>
      <c r="N11" s="930">
        <f>huishoudens!M8</f>
        <v>0</v>
      </c>
      <c r="O11" s="930">
        <f>huishoudens!N8</f>
        <v>19334.480507366567</v>
      </c>
      <c r="P11" s="930">
        <f>huishoudens!O8</f>
        <v>239.19000000000003</v>
      </c>
      <c r="Q11" s="931">
        <f>huishoudens!P8</f>
        <v>1048.6666666666667</v>
      </c>
      <c r="R11" s="628">
        <f>SUM(C11:Q11)</f>
        <v>374083.04217673989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4065.1368336700002</v>
      </c>
      <c r="D13" s="930">
        <f>industrie!C18</f>
        <v>763.07142857142867</v>
      </c>
      <c r="E13" s="930">
        <f>industrie!D18</f>
        <v>3120.8714205473229</v>
      </c>
      <c r="F13" s="930">
        <f>industrie!E18</f>
        <v>539.99262271590112</v>
      </c>
      <c r="G13" s="930">
        <f>industrie!F18</f>
        <v>2008.2221891258214</v>
      </c>
      <c r="H13" s="930">
        <f>industrie!G18</f>
        <v>0</v>
      </c>
      <c r="I13" s="930">
        <f>industrie!H18</f>
        <v>0</v>
      </c>
      <c r="J13" s="930">
        <f>industrie!I18</f>
        <v>0</v>
      </c>
      <c r="K13" s="930">
        <f>industrie!J18</f>
        <v>18.663055627349042</v>
      </c>
      <c r="L13" s="930">
        <f>industrie!K18</f>
        <v>0</v>
      </c>
      <c r="M13" s="930">
        <f>industrie!L18</f>
        <v>0</v>
      </c>
      <c r="N13" s="930">
        <f>industrie!M18</f>
        <v>0</v>
      </c>
      <c r="O13" s="930">
        <f>industrie!N18</f>
        <v>578.73961020192417</v>
      </c>
      <c r="P13" s="930">
        <f>industrie!O18</f>
        <v>0</v>
      </c>
      <c r="Q13" s="931">
        <f>industrie!P18</f>
        <v>0</v>
      </c>
      <c r="R13" s="628">
        <f>SUM(C13:Q13)</f>
        <v>11094.697160459747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128745.70435168326</v>
      </c>
      <c r="D16" s="660">
        <f t="shared" ref="D16:R16" ca="1" si="0">SUM(D9:D15)</f>
        <v>1663.0714285714289</v>
      </c>
      <c r="E16" s="660">
        <f t="shared" ca="1" si="0"/>
        <v>325469.99237328413</v>
      </c>
      <c r="F16" s="660">
        <f t="shared" si="0"/>
        <v>2663.4871434292982</v>
      </c>
      <c r="G16" s="660">
        <f t="shared" ca="1" si="0"/>
        <v>53983.734115396241</v>
      </c>
      <c r="H16" s="660">
        <f t="shared" si="0"/>
        <v>0</v>
      </c>
      <c r="I16" s="660">
        <f t="shared" si="0"/>
        <v>0</v>
      </c>
      <c r="J16" s="660">
        <f t="shared" si="0"/>
        <v>0</v>
      </c>
      <c r="K16" s="660">
        <f t="shared" si="0"/>
        <v>782.1096811571374</v>
      </c>
      <c r="L16" s="660">
        <f t="shared" si="0"/>
        <v>0</v>
      </c>
      <c r="M16" s="660">
        <f t="shared" ca="1" si="0"/>
        <v>0</v>
      </c>
      <c r="N16" s="660">
        <f t="shared" si="0"/>
        <v>0</v>
      </c>
      <c r="O16" s="660">
        <f t="shared" ca="1" si="0"/>
        <v>22675.713756517001</v>
      </c>
      <c r="P16" s="660">
        <f t="shared" si="0"/>
        <v>240.75333333333336</v>
      </c>
      <c r="Q16" s="660">
        <f t="shared" si="0"/>
        <v>1086.8000000000002</v>
      </c>
      <c r="R16" s="660">
        <f t="shared" ca="1" si="0"/>
        <v>537311.36618337187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20.396847586332846</v>
      </c>
      <c r="D19" s="930">
        <f>transport!C54</f>
        <v>0</v>
      </c>
      <c r="E19" s="930">
        <f>transport!D54</f>
        <v>0</v>
      </c>
      <c r="F19" s="930">
        <f>transport!E54</f>
        <v>0</v>
      </c>
      <c r="G19" s="930">
        <f>transport!F54</f>
        <v>0</v>
      </c>
      <c r="H19" s="930">
        <f>transport!G54</f>
        <v>3636.8011074751134</v>
      </c>
      <c r="I19" s="930">
        <f>transport!H54</f>
        <v>0</v>
      </c>
      <c r="J19" s="930">
        <f>transport!I54</f>
        <v>0</v>
      </c>
      <c r="K19" s="930">
        <f>transport!J54</f>
        <v>0</v>
      </c>
      <c r="L19" s="930">
        <f>transport!K54</f>
        <v>0</v>
      </c>
      <c r="M19" s="930">
        <f>transport!L54</f>
        <v>0</v>
      </c>
      <c r="N19" s="930">
        <f>transport!M54</f>
        <v>113.526839302266</v>
      </c>
      <c r="O19" s="930">
        <f>transport!N54</f>
        <v>0</v>
      </c>
      <c r="P19" s="930">
        <f>transport!O54</f>
        <v>0</v>
      </c>
      <c r="Q19" s="931">
        <f>transport!P54</f>
        <v>0</v>
      </c>
      <c r="R19" s="628">
        <f>SUM(C19:Q19)</f>
        <v>3770.7247943637126</v>
      </c>
      <c r="S19" s="67"/>
    </row>
    <row r="20" spans="1:19" s="437" customFormat="1">
      <c r="A20" s="736" t="s">
        <v>296</v>
      </c>
      <c r="B20" s="741"/>
      <c r="C20" s="930">
        <f>transport!B14</f>
        <v>51.769441309556143</v>
      </c>
      <c r="D20" s="930">
        <f>transport!C14</f>
        <v>0</v>
      </c>
      <c r="E20" s="930">
        <f>transport!D14</f>
        <v>87.917328253380759</v>
      </c>
      <c r="F20" s="930">
        <f>transport!E14</f>
        <v>406.15785494279231</v>
      </c>
      <c r="G20" s="930">
        <f>transport!F14</f>
        <v>0</v>
      </c>
      <c r="H20" s="930">
        <f>transport!G14</f>
        <v>141998.08716606969</v>
      </c>
      <c r="I20" s="930">
        <f>transport!H14</f>
        <v>30446.076395926499</v>
      </c>
      <c r="J20" s="930">
        <f>transport!I14</f>
        <v>0</v>
      </c>
      <c r="K20" s="930">
        <f>transport!J14</f>
        <v>0</v>
      </c>
      <c r="L20" s="930">
        <f>transport!K14</f>
        <v>0</v>
      </c>
      <c r="M20" s="930">
        <f>transport!L14</f>
        <v>0</v>
      </c>
      <c r="N20" s="930">
        <f>transport!M14</f>
        <v>5379.7265929174755</v>
      </c>
      <c r="O20" s="930">
        <f>transport!N14</f>
        <v>0</v>
      </c>
      <c r="P20" s="930">
        <f>transport!O14</f>
        <v>0</v>
      </c>
      <c r="Q20" s="931">
        <f>transport!P14</f>
        <v>0</v>
      </c>
      <c r="R20" s="628">
        <f>SUM(C20:Q20)</f>
        <v>178369.73477941938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72.166288895888982</v>
      </c>
      <c r="D22" s="739">
        <f t="shared" ref="D22:R22" si="1">SUM(D18:D21)</f>
        <v>0</v>
      </c>
      <c r="E22" s="739">
        <f t="shared" si="1"/>
        <v>87.917328253380759</v>
      </c>
      <c r="F22" s="739">
        <f t="shared" si="1"/>
        <v>406.15785494279231</v>
      </c>
      <c r="G22" s="739">
        <f t="shared" si="1"/>
        <v>0</v>
      </c>
      <c r="H22" s="739">
        <f t="shared" si="1"/>
        <v>145634.88827354481</v>
      </c>
      <c r="I22" s="739">
        <f t="shared" si="1"/>
        <v>30446.076395926499</v>
      </c>
      <c r="J22" s="739">
        <f t="shared" si="1"/>
        <v>0</v>
      </c>
      <c r="K22" s="739">
        <f t="shared" si="1"/>
        <v>0</v>
      </c>
      <c r="L22" s="739">
        <f t="shared" si="1"/>
        <v>0</v>
      </c>
      <c r="M22" s="739">
        <f t="shared" si="1"/>
        <v>0</v>
      </c>
      <c r="N22" s="739">
        <f t="shared" si="1"/>
        <v>5493.2534322197416</v>
      </c>
      <c r="O22" s="739">
        <f t="shared" si="1"/>
        <v>0</v>
      </c>
      <c r="P22" s="739">
        <f t="shared" si="1"/>
        <v>0</v>
      </c>
      <c r="Q22" s="739">
        <f t="shared" si="1"/>
        <v>0</v>
      </c>
      <c r="R22" s="739">
        <f t="shared" si="1"/>
        <v>182140.4595737831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88.58418282800001</v>
      </c>
      <c r="D24" s="930">
        <f>+landbouw!C8</f>
        <v>0</v>
      </c>
      <c r="E24" s="930">
        <f>+landbouw!D8</f>
        <v>224.60908417287999</v>
      </c>
      <c r="F24" s="930">
        <f>+landbouw!E8</f>
        <v>1.754928844870401</v>
      </c>
      <c r="G24" s="930">
        <f>+landbouw!F8</f>
        <v>323.0415303382299</v>
      </c>
      <c r="H24" s="930">
        <f>+landbouw!G8</f>
        <v>0</v>
      </c>
      <c r="I24" s="930">
        <f>+landbouw!H8</f>
        <v>0</v>
      </c>
      <c r="J24" s="930">
        <f>+landbouw!I8</f>
        <v>0</v>
      </c>
      <c r="K24" s="930">
        <f>+landbouw!J8</f>
        <v>21.033453979368197</v>
      </c>
      <c r="L24" s="930">
        <f>+landbouw!K8</f>
        <v>0</v>
      </c>
      <c r="M24" s="930">
        <f>+landbouw!L8</f>
        <v>0</v>
      </c>
      <c r="N24" s="930">
        <f>+landbouw!M8</f>
        <v>0</v>
      </c>
      <c r="O24" s="930">
        <f>+landbouw!N8</f>
        <v>0</v>
      </c>
      <c r="P24" s="930">
        <f>+landbouw!O8</f>
        <v>0</v>
      </c>
      <c r="Q24" s="931">
        <f>+landbouw!P8</f>
        <v>0</v>
      </c>
      <c r="R24" s="628">
        <f>SUM(C24:Q24)</f>
        <v>659.02318016334857</v>
      </c>
      <c r="S24" s="67"/>
    </row>
    <row r="25" spans="1:19" s="437" customFormat="1" ht="15" thickBot="1">
      <c r="A25" s="758" t="s">
        <v>788</v>
      </c>
      <c r="B25" s="933"/>
      <c r="C25" s="934">
        <f>IF(Onbekend_ele_kWh="---",0,Onbekend_ele_kWh)/1000+IF(REST_rest_ele_kWh="---",0,REST_rest_ele_kWh)/1000</f>
        <v>2643.7173235</v>
      </c>
      <c r="D25" s="934"/>
      <c r="E25" s="934">
        <f>IF(onbekend_gas_kWh="---",0,onbekend_gas_kWh)/1000+IF(REST_rest_gas_kWh="---",0,REST_rest_gas_kWh)/1000</f>
        <v>9425.3847707999994</v>
      </c>
      <c r="F25" s="934"/>
      <c r="G25" s="934"/>
      <c r="H25" s="934"/>
      <c r="I25" s="934"/>
      <c r="J25" s="934"/>
      <c r="K25" s="934"/>
      <c r="L25" s="934"/>
      <c r="M25" s="934"/>
      <c r="N25" s="934"/>
      <c r="O25" s="934"/>
      <c r="P25" s="934"/>
      <c r="Q25" s="935"/>
      <c r="R25" s="628">
        <f>SUM(C25:Q25)</f>
        <v>12069.1020943</v>
      </c>
      <c r="S25" s="67"/>
    </row>
    <row r="26" spans="1:19" s="437" customFormat="1" ht="15.75" thickBot="1">
      <c r="A26" s="633" t="s">
        <v>789</v>
      </c>
      <c r="B26" s="744"/>
      <c r="C26" s="739">
        <f>SUM(C24:C25)</f>
        <v>2732.301506328</v>
      </c>
      <c r="D26" s="739">
        <f t="shared" ref="D26:R26" si="2">SUM(D24:D25)</f>
        <v>0</v>
      </c>
      <c r="E26" s="739">
        <f t="shared" si="2"/>
        <v>9649.9938549728795</v>
      </c>
      <c r="F26" s="739">
        <f t="shared" si="2"/>
        <v>1.754928844870401</v>
      </c>
      <c r="G26" s="739">
        <f t="shared" si="2"/>
        <v>323.0415303382299</v>
      </c>
      <c r="H26" s="739">
        <f t="shared" si="2"/>
        <v>0</v>
      </c>
      <c r="I26" s="739">
        <f t="shared" si="2"/>
        <v>0</v>
      </c>
      <c r="J26" s="739">
        <f t="shared" si="2"/>
        <v>0</v>
      </c>
      <c r="K26" s="739">
        <f t="shared" si="2"/>
        <v>21.033453979368197</v>
      </c>
      <c r="L26" s="739">
        <f t="shared" si="2"/>
        <v>0</v>
      </c>
      <c r="M26" s="739">
        <f t="shared" si="2"/>
        <v>0</v>
      </c>
      <c r="N26" s="739">
        <f t="shared" si="2"/>
        <v>0</v>
      </c>
      <c r="O26" s="739">
        <f t="shared" si="2"/>
        <v>0</v>
      </c>
      <c r="P26" s="739">
        <f t="shared" si="2"/>
        <v>0</v>
      </c>
      <c r="Q26" s="739">
        <f t="shared" si="2"/>
        <v>0</v>
      </c>
      <c r="R26" s="739">
        <f t="shared" si="2"/>
        <v>12728.125274463349</v>
      </c>
      <c r="S26" s="67"/>
    </row>
    <row r="27" spans="1:19" s="437" customFormat="1" ht="17.25" thickTop="1" thickBot="1">
      <c r="A27" s="634" t="s">
        <v>109</v>
      </c>
      <c r="B27" s="732"/>
      <c r="C27" s="635">
        <f ca="1">C22+C16+C26</f>
        <v>131550.17214690713</v>
      </c>
      <c r="D27" s="635">
        <f t="shared" ref="D27:R27" ca="1" si="3">D22+D16+D26</f>
        <v>1663.0714285714289</v>
      </c>
      <c r="E27" s="635">
        <f t="shared" ca="1" si="3"/>
        <v>335207.9035565104</v>
      </c>
      <c r="F27" s="635">
        <f t="shared" si="3"/>
        <v>3071.3999272169608</v>
      </c>
      <c r="G27" s="635">
        <f t="shared" ca="1" si="3"/>
        <v>54306.775645734473</v>
      </c>
      <c r="H27" s="635">
        <f t="shared" si="3"/>
        <v>145634.88827354481</v>
      </c>
      <c r="I27" s="635">
        <f t="shared" si="3"/>
        <v>30446.076395926499</v>
      </c>
      <c r="J27" s="635">
        <f t="shared" si="3"/>
        <v>0</v>
      </c>
      <c r="K27" s="635">
        <f t="shared" si="3"/>
        <v>803.14313513650563</v>
      </c>
      <c r="L27" s="635">
        <f t="shared" si="3"/>
        <v>0</v>
      </c>
      <c r="M27" s="635">
        <f t="shared" ca="1" si="3"/>
        <v>0</v>
      </c>
      <c r="N27" s="635">
        <f t="shared" si="3"/>
        <v>5493.2534322197416</v>
      </c>
      <c r="O27" s="635">
        <f t="shared" ca="1" si="3"/>
        <v>22675.713756517001</v>
      </c>
      <c r="P27" s="635">
        <f t="shared" si="3"/>
        <v>240.75333333333336</v>
      </c>
      <c r="Q27" s="635">
        <f t="shared" si="3"/>
        <v>1086.8000000000002</v>
      </c>
      <c r="R27" s="635">
        <f t="shared" ca="1" si="3"/>
        <v>732179.95103161829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11447.404648408516</v>
      </c>
      <c r="D40" s="930">
        <f ca="1">tertiair!C20</f>
        <v>213.88235294117655</v>
      </c>
      <c r="E40" s="930">
        <f ca="1">tertiair!D20</f>
        <v>16895.443966186351</v>
      </c>
      <c r="F40" s="930">
        <f>tertiair!E20</f>
        <v>136.42749306961147</v>
      </c>
      <c r="G40" s="930">
        <f ca="1">tertiair!F20</f>
        <v>2825.3829317825466</v>
      </c>
      <c r="H40" s="930">
        <f>tertiair!G20</f>
        <v>0</v>
      </c>
      <c r="I40" s="930">
        <f>tertiair!H20</f>
        <v>0</v>
      </c>
      <c r="J40" s="930">
        <f>tertiair!I20</f>
        <v>0</v>
      </c>
      <c r="K40" s="930">
        <f>tertiair!J20</f>
        <v>2.6750770561045266E-2</v>
      </c>
      <c r="L40" s="930">
        <f>tertiair!K20</f>
        <v>0</v>
      </c>
      <c r="M40" s="930">
        <f ca="1">tertiair!L20</f>
        <v>0</v>
      </c>
      <c r="N40" s="930">
        <f>tertiair!M20</f>
        <v>0</v>
      </c>
      <c r="O40" s="930">
        <f ca="1">tertiair!N20</f>
        <v>0</v>
      </c>
      <c r="P40" s="930">
        <f>tertiair!O20</f>
        <v>0</v>
      </c>
      <c r="Q40" s="702">
        <f>tertiair!P20</f>
        <v>0</v>
      </c>
      <c r="R40" s="777">
        <f t="shared" ca="1" si="4"/>
        <v>31518.568143158765</v>
      </c>
    </row>
    <row r="41" spans="1:18">
      <c r="A41" s="749" t="s">
        <v>214</v>
      </c>
      <c r="B41" s="756"/>
      <c r="C41" s="930">
        <f ca="1">huishoudens!B12</f>
        <v>15176.977216241206</v>
      </c>
      <c r="D41" s="930">
        <f ca="1">huishoudens!C12</f>
        <v>0</v>
      </c>
      <c r="E41" s="930">
        <f>huishoudens!D12</f>
        <v>48219.078466266496</v>
      </c>
      <c r="F41" s="930">
        <f>huishoudens!E12</f>
        <v>345.60576313232968</v>
      </c>
      <c r="G41" s="930">
        <f>huishoudens!F12</f>
        <v>11052.078752531655</v>
      </c>
      <c r="H41" s="930">
        <f>huishoudens!G12</f>
        <v>0</v>
      </c>
      <c r="I41" s="930">
        <f>huishoudens!H12</f>
        <v>0</v>
      </c>
      <c r="J41" s="930">
        <f>huishoudens!I12</f>
        <v>0</v>
      </c>
      <c r="K41" s="930">
        <f>huishoudens!J12</f>
        <v>270.23335466698404</v>
      </c>
      <c r="L41" s="930">
        <f>huishoudens!K12</f>
        <v>0</v>
      </c>
      <c r="M41" s="930">
        <f>huishoudens!L12</f>
        <v>0</v>
      </c>
      <c r="N41" s="930">
        <f>huishoudens!M12</f>
        <v>0</v>
      </c>
      <c r="O41" s="930">
        <f>huishoudens!N12</f>
        <v>0</v>
      </c>
      <c r="P41" s="930">
        <f>huishoudens!O12</f>
        <v>0</v>
      </c>
      <c r="Q41" s="702">
        <f>huishoudens!P12</f>
        <v>0</v>
      </c>
      <c r="R41" s="777">
        <f t="shared" ca="1" si="4"/>
        <v>75063.973552838666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868.07236721990625</v>
      </c>
      <c r="D43" s="930">
        <f ca="1">industrie!C22</f>
        <v>181.34168067226895</v>
      </c>
      <c r="E43" s="930">
        <f>industrie!D22</f>
        <v>630.41602695055929</v>
      </c>
      <c r="F43" s="930">
        <f>industrie!E22</f>
        <v>122.57832535650955</v>
      </c>
      <c r="G43" s="930">
        <f>industrie!F22</f>
        <v>536.19532449659437</v>
      </c>
      <c r="H43" s="930">
        <f>industrie!G22</f>
        <v>0</v>
      </c>
      <c r="I43" s="930">
        <f>industrie!H22</f>
        <v>0</v>
      </c>
      <c r="J43" s="930">
        <f>industrie!I22</f>
        <v>0</v>
      </c>
      <c r="K43" s="930">
        <f>industrie!J22</f>
        <v>6.6067216920815603</v>
      </c>
      <c r="L43" s="930">
        <f>industrie!K22</f>
        <v>0</v>
      </c>
      <c r="M43" s="930">
        <f>industrie!L22</f>
        <v>0</v>
      </c>
      <c r="N43" s="930">
        <f>industrie!M22</f>
        <v>0</v>
      </c>
      <c r="O43" s="930">
        <f>industrie!N22</f>
        <v>0</v>
      </c>
      <c r="P43" s="930">
        <f>industrie!O22</f>
        <v>0</v>
      </c>
      <c r="Q43" s="702">
        <f>industrie!P22</f>
        <v>0</v>
      </c>
      <c r="R43" s="776">
        <f t="shared" ca="1" si="4"/>
        <v>2345.21044638792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27492.454231869629</v>
      </c>
      <c r="D46" s="660">
        <f t="shared" ref="D46:Q46" ca="1" si="5">SUM(D39:D45)</f>
        <v>395.2240336134455</v>
      </c>
      <c r="E46" s="660">
        <f t="shared" ca="1" si="5"/>
        <v>65744.938459403405</v>
      </c>
      <c r="F46" s="660">
        <f t="shared" si="5"/>
        <v>604.61158155845078</v>
      </c>
      <c r="G46" s="660">
        <f t="shared" ca="1" si="5"/>
        <v>14413.657008810798</v>
      </c>
      <c r="H46" s="660">
        <f t="shared" si="5"/>
        <v>0</v>
      </c>
      <c r="I46" s="660">
        <f t="shared" si="5"/>
        <v>0</v>
      </c>
      <c r="J46" s="660">
        <f t="shared" si="5"/>
        <v>0</v>
      </c>
      <c r="K46" s="660">
        <f t="shared" si="5"/>
        <v>276.86682712962664</v>
      </c>
      <c r="L46" s="660">
        <f t="shared" si="5"/>
        <v>0</v>
      </c>
      <c r="M46" s="660">
        <f t="shared" ca="1" si="5"/>
        <v>0</v>
      </c>
      <c r="N46" s="660">
        <f t="shared" si="5"/>
        <v>0</v>
      </c>
      <c r="O46" s="660">
        <f t="shared" ca="1" si="5"/>
        <v>0</v>
      </c>
      <c r="P46" s="660">
        <f t="shared" si="5"/>
        <v>0</v>
      </c>
      <c r="Q46" s="660">
        <f t="shared" si="5"/>
        <v>0</v>
      </c>
      <c r="R46" s="660">
        <f ca="1">SUM(R39:R45)</f>
        <v>108927.75214238536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4.3555581257289901</v>
      </c>
      <c r="D49" s="930">
        <f ca="1">transport!C58</f>
        <v>0</v>
      </c>
      <c r="E49" s="930">
        <f>transport!D58</f>
        <v>0</v>
      </c>
      <c r="F49" s="930">
        <f>transport!E58</f>
        <v>0</v>
      </c>
      <c r="G49" s="930">
        <f>transport!F58</f>
        <v>0</v>
      </c>
      <c r="H49" s="930">
        <f>transport!G58</f>
        <v>971.0258956958553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975.38145382158427</v>
      </c>
    </row>
    <row r="50" spans="1:18">
      <c r="A50" s="752" t="s">
        <v>296</v>
      </c>
      <c r="B50" s="762"/>
      <c r="C50" s="631">
        <f ca="1">transport!B18</f>
        <v>11.054885310383753</v>
      </c>
      <c r="D50" s="631">
        <f>transport!C18</f>
        <v>0</v>
      </c>
      <c r="E50" s="631">
        <f>transport!D18</f>
        <v>17.759300307182915</v>
      </c>
      <c r="F50" s="631">
        <f>transport!E18</f>
        <v>92.197833072013864</v>
      </c>
      <c r="G50" s="631">
        <f>transport!F18</f>
        <v>0</v>
      </c>
      <c r="H50" s="631">
        <f>transport!G18</f>
        <v>37913.489273340609</v>
      </c>
      <c r="I50" s="631">
        <f>transport!H18</f>
        <v>7581.0730225856978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45615.574314615886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15.410443436112743</v>
      </c>
      <c r="D52" s="660">
        <f t="shared" ref="D52:Q52" ca="1" si="6">SUM(D48:D51)</f>
        <v>0</v>
      </c>
      <c r="E52" s="660">
        <f t="shared" si="6"/>
        <v>17.759300307182915</v>
      </c>
      <c r="F52" s="660">
        <f t="shared" si="6"/>
        <v>92.197833072013864</v>
      </c>
      <c r="G52" s="660">
        <f t="shared" si="6"/>
        <v>0</v>
      </c>
      <c r="H52" s="660">
        <f t="shared" si="6"/>
        <v>38884.515169036466</v>
      </c>
      <c r="I52" s="660">
        <f t="shared" si="6"/>
        <v>7581.0730225856978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46590.955768437467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18.916332815375366</v>
      </c>
      <c r="D54" s="631">
        <f ca="1">+landbouw!C12</f>
        <v>0</v>
      </c>
      <c r="E54" s="631">
        <f>+landbouw!D12</f>
        <v>45.371035002921758</v>
      </c>
      <c r="F54" s="631">
        <f>+landbouw!E12</f>
        <v>0.39836884778558107</v>
      </c>
      <c r="G54" s="631">
        <f>+landbouw!F12</f>
        <v>86.252088600307388</v>
      </c>
      <c r="H54" s="631">
        <f>+landbouw!G12</f>
        <v>0</v>
      </c>
      <c r="I54" s="631">
        <f>+landbouw!H12</f>
        <v>0</v>
      </c>
      <c r="J54" s="631">
        <f>+landbouw!I12</f>
        <v>0</v>
      </c>
      <c r="K54" s="631">
        <f>+landbouw!J12</f>
        <v>7.4458427086963415</v>
      </c>
      <c r="L54" s="631">
        <f>+landbouw!K12</f>
        <v>0</v>
      </c>
      <c r="M54" s="631">
        <f>+landbouw!L12</f>
        <v>0</v>
      </c>
      <c r="N54" s="631">
        <f>+landbouw!M12</f>
        <v>0</v>
      </c>
      <c r="O54" s="631">
        <f>+landbouw!N12</f>
        <v>0</v>
      </c>
      <c r="P54" s="631">
        <f>+landbouw!O12</f>
        <v>0</v>
      </c>
      <c r="Q54" s="632">
        <f>+landbouw!P12</f>
        <v>0</v>
      </c>
      <c r="R54" s="659">
        <f ca="1">SUM(C54:Q54)</f>
        <v>158.38366797508644</v>
      </c>
    </row>
    <row r="55" spans="1:18" ht="15" thickBot="1">
      <c r="A55" s="752" t="s">
        <v>788</v>
      </c>
      <c r="B55" s="762"/>
      <c r="C55" s="631">
        <f ca="1">C25*'EF ele_warmte'!B12</f>
        <v>564.54137933631444</v>
      </c>
      <c r="D55" s="631"/>
      <c r="E55" s="631">
        <f>E25*EF_CO2_aardgas</f>
        <v>1903.9277237015999</v>
      </c>
      <c r="F55" s="631"/>
      <c r="G55" s="631"/>
      <c r="H55" s="631"/>
      <c r="I55" s="631"/>
      <c r="J55" s="631"/>
      <c r="K55" s="631"/>
      <c r="L55" s="631"/>
      <c r="M55" s="631"/>
      <c r="N55" s="631"/>
      <c r="O55" s="631"/>
      <c r="P55" s="631"/>
      <c r="Q55" s="632"/>
      <c r="R55" s="659">
        <f ca="1">SUM(C55:Q55)</f>
        <v>2468.4691030379145</v>
      </c>
    </row>
    <row r="56" spans="1:18" ht="15.75" thickBot="1">
      <c r="A56" s="750" t="s">
        <v>789</v>
      </c>
      <c r="B56" s="763"/>
      <c r="C56" s="660">
        <f ca="1">SUM(C54:C55)</f>
        <v>583.45771215168975</v>
      </c>
      <c r="D56" s="660">
        <f t="shared" ref="D56:Q56" ca="1" si="7">SUM(D54:D55)</f>
        <v>0</v>
      </c>
      <c r="E56" s="660">
        <f t="shared" si="7"/>
        <v>1949.2987587045218</v>
      </c>
      <c r="F56" s="660">
        <f t="shared" si="7"/>
        <v>0.39836884778558107</v>
      </c>
      <c r="G56" s="660">
        <f t="shared" si="7"/>
        <v>86.252088600307388</v>
      </c>
      <c r="H56" s="660">
        <f t="shared" si="7"/>
        <v>0</v>
      </c>
      <c r="I56" s="660">
        <f t="shared" si="7"/>
        <v>0</v>
      </c>
      <c r="J56" s="660">
        <f t="shared" si="7"/>
        <v>0</v>
      </c>
      <c r="K56" s="660">
        <f t="shared" si="7"/>
        <v>7.4458427086963415</v>
      </c>
      <c r="L56" s="660">
        <f t="shared" si="7"/>
        <v>0</v>
      </c>
      <c r="M56" s="660">
        <f t="shared" si="7"/>
        <v>0</v>
      </c>
      <c r="N56" s="660">
        <f t="shared" si="7"/>
        <v>0</v>
      </c>
      <c r="O56" s="660">
        <f t="shared" si="7"/>
        <v>0</v>
      </c>
      <c r="P56" s="660">
        <f t="shared" si="7"/>
        <v>0</v>
      </c>
      <c r="Q56" s="661">
        <f t="shared" si="7"/>
        <v>0</v>
      </c>
      <c r="R56" s="662">
        <f ca="1">SUM(R54:R55)</f>
        <v>2626.8527710130011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28091.322387457432</v>
      </c>
      <c r="D61" s="668">
        <f t="shared" ref="D61:Q61" ca="1" si="8">D46+D52+D56</f>
        <v>395.2240336134455</v>
      </c>
      <c r="E61" s="668">
        <f t="shared" ca="1" si="8"/>
        <v>67711.996518415108</v>
      </c>
      <c r="F61" s="668">
        <f t="shared" si="8"/>
        <v>697.20778347825024</v>
      </c>
      <c r="G61" s="668">
        <f t="shared" ca="1" si="8"/>
        <v>14499.909097411106</v>
      </c>
      <c r="H61" s="668">
        <f t="shared" si="8"/>
        <v>38884.515169036466</v>
      </c>
      <c r="I61" s="668">
        <f t="shared" si="8"/>
        <v>7581.0730225856978</v>
      </c>
      <c r="J61" s="668">
        <f t="shared" si="8"/>
        <v>0</v>
      </c>
      <c r="K61" s="668">
        <f t="shared" si="8"/>
        <v>284.31266983832296</v>
      </c>
      <c r="L61" s="668">
        <f t="shared" si="8"/>
        <v>0</v>
      </c>
      <c r="M61" s="668">
        <f t="shared" ca="1" si="8"/>
        <v>0</v>
      </c>
      <c r="N61" s="668">
        <f t="shared" si="8"/>
        <v>0</v>
      </c>
      <c r="O61" s="668">
        <f t="shared" ca="1" si="8"/>
        <v>0</v>
      </c>
      <c r="P61" s="668">
        <f t="shared" si="8"/>
        <v>0</v>
      </c>
      <c r="Q61" s="668">
        <f t="shared" si="8"/>
        <v>0</v>
      </c>
      <c r="R61" s="668">
        <f ca="1">R46+R52+R56</f>
        <v>158145.56068183584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0.2135407497307322</v>
      </c>
      <c r="D63" s="709">
        <f t="shared" ca="1" si="9"/>
        <v>0.23764705882352943</v>
      </c>
      <c r="E63" s="941">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4527.8069255134214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1164.1500000000001</v>
      </c>
      <c r="D76" s="951">
        <f>'lokale energieproductie'!C8</f>
        <v>1369.5882352941178</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276.65682352941184</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4527.8069255134214</v>
      </c>
      <c r="C78" s="683">
        <f>SUM(C72:C77)</f>
        <v>1164.1500000000001</v>
      </c>
      <c r="D78" s="684">
        <f t="shared" ref="D78:H78" si="10">SUM(D76:D77)</f>
        <v>1369.5882352941178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276.65682352941184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1663.0714285714289</v>
      </c>
      <c r="D87" s="705">
        <f>'lokale energieproductie'!C17</f>
        <v>1956.55462184874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395.2240336134455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1663.0714285714289</v>
      </c>
      <c r="D90" s="683">
        <f t="shared" ref="D90:H90" si="12">SUM(D87:D89)</f>
        <v>1956.55462184874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395.2240336134455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71072.978976513274</v>
      </c>
      <c r="C4" s="441">
        <f>huishoudens!C8</f>
        <v>0</v>
      </c>
      <c r="D4" s="441">
        <f>huishoudens!D8</f>
        <v>238708.30923894304</v>
      </c>
      <c r="E4" s="441">
        <f>huishoudens!E8</f>
        <v>1522.4923486005712</v>
      </c>
      <c r="F4" s="441">
        <f>huishoudens!F8</f>
        <v>41393.553380268371</v>
      </c>
      <c r="G4" s="441">
        <f>huishoudens!G8</f>
        <v>0</v>
      </c>
      <c r="H4" s="441">
        <f>huishoudens!H8</f>
        <v>0</v>
      </c>
      <c r="I4" s="441">
        <f>huishoudens!I8</f>
        <v>0</v>
      </c>
      <c r="J4" s="441">
        <f>huishoudens!J8</f>
        <v>763.37105838131083</v>
      </c>
      <c r="K4" s="441">
        <f>huishoudens!K8</f>
        <v>0</v>
      </c>
      <c r="L4" s="441">
        <f>huishoudens!L8</f>
        <v>0</v>
      </c>
      <c r="M4" s="441">
        <f>huishoudens!M8</f>
        <v>0</v>
      </c>
      <c r="N4" s="441">
        <f>huishoudens!N8</f>
        <v>19334.480507366567</v>
      </c>
      <c r="O4" s="441">
        <f>huishoudens!O8</f>
        <v>239.19000000000003</v>
      </c>
      <c r="P4" s="442">
        <f>huishoudens!P8</f>
        <v>1048.6666666666667</v>
      </c>
      <c r="Q4" s="443">
        <f>SUM(B4:P4)</f>
        <v>374083.04217673989</v>
      </c>
    </row>
    <row r="5" spans="1:17">
      <c r="A5" s="440" t="s">
        <v>149</v>
      </c>
      <c r="B5" s="441">
        <f ca="1">tertiair!B16</f>
        <v>51718.056541500002</v>
      </c>
      <c r="C5" s="441">
        <f ca="1">tertiair!C16</f>
        <v>900.00000000000023</v>
      </c>
      <c r="D5" s="441">
        <f ca="1">tertiair!D16</f>
        <v>83640.81171379381</v>
      </c>
      <c r="E5" s="441">
        <f>tertiair!E16</f>
        <v>601.00217211282586</v>
      </c>
      <c r="F5" s="441">
        <f ca="1">tertiair!F16</f>
        <v>10581.958546002046</v>
      </c>
      <c r="G5" s="441">
        <f>tertiair!G16</f>
        <v>0</v>
      </c>
      <c r="H5" s="441">
        <f>tertiair!H16</f>
        <v>0</v>
      </c>
      <c r="I5" s="441">
        <f>tertiair!I16</f>
        <v>0</v>
      </c>
      <c r="J5" s="441">
        <f>tertiair!J16</f>
        <v>7.5567148477529003E-2</v>
      </c>
      <c r="K5" s="441">
        <f>tertiair!K16</f>
        <v>0</v>
      </c>
      <c r="L5" s="441">
        <f ca="1">tertiair!L16</f>
        <v>0</v>
      </c>
      <c r="M5" s="441">
        <f>tertiair!M16</f>
        <v>0</v>
      </c>
      <c r="N5" s="441">
        <f ca="1">tertiair!N16</f>
        <v>2762.4936389485129</v>
      </c>
      <c r="O5" s="441">
        <f>tertiair!O16</f>
        <v>1.5633333333333335</v>
      </c>
      <c r="P5" s="442">
        <f>tertiair!P16</f>
        <v>38.133333333333333</v>
      </c>
      <c r="Q5" s="440">
        <f t="shared" ref="Q5:Q14" ca="1" si="0">SUM(B5:P5)</f>
        <v>150244.09484617232</v>
      </c>
    </row>
    <row r="6" spans="1:17">
      <c r="A6" s="440" t="s">
        <v>187</v>
      </c>
      <c r="B6" s="441">
        <f>'openbare verlichting'!B8</f>
        <v>1889.5319999999999</v>
      </c>
      <c r="C6" s="441"/>
      <c r="D6" s="441"/>
      <c r="E6" s="441"/>
      <c r="F6" s="441"/>
      <c r="G6" s="441"/>
      <c r="H6" s="441"/>
      <c r="I6" s="441"/>
      <c r="J6" s="441"/>
      <c r="K6" s="441"/>
      <c r="L6" s="441"/>
      <c r="M6" s="441"/>
      <c r="N6" s="441"/>
      <c r="O6" s="441"/>
      <c r="P6" s="442"/>
      <c r="Q6" s="440">
        <f t="shared" si="0"/>
        <v>1889.5319999999999</v>
      </c>
    </row>
    <row r="7" spans="1:17">
      <c r="A7" s="440" t="s">
        <v>105</v>
      </c>
      <c r="B7" s="441">
        <f>landbouw!B8</f>
        <v>88.58418282800001</v>
      </c>
      <c r="C7" s="441">
        <f>landbouw!C8</f>
        <v>0</v>
      </c>
      <c r="D7" s="441">
        <f>landbouw!D8</f>
        <v>224.60908417287999</v>
      </c>
      <c r="E7" s="441">
        <f>landbouw!E8</f>
        <v>1.754928844870401</v>
      </c>
      <c r="F7" s="441">
        <f>landbouw!F8</f>
        <v>323.0415303382299</v>
      </c>
      <c r="G7" s="441">
        <f>landbouw!G8</f>
        <v>0</v>
      </c>
      <c r="H7" s="441">
        <f>landbouw!H8</f>
        <v>0</v>
      </c>
      <c r="I7" s="441">
        <f>landbouw!I8</f>
        <v>0</v>
      </c>
      <c r="J7" s="441">
        <f>landbouw!J8</f>
        <v>21.033453979368197</v>
      </c>
      <c r="K7" s="441">
        <f>landbouw!K8</f>
        <v>0</v>
      </c>
      <c r="L7" s="441">
        <f>landbouw!L8</f>
        <v>0</v>
      </c>
      <c r="M7" s="441">
        <f>landbouw!M8</f>
        <v>0</v>
      </c>
      <c r="N7" s="441">
        <f>landbouw!N8</f>
        <v>0</v>
      </c>
      <c r="O7" s="441">
        <f>landbouw!O8</f>
        <v>0</v>
      </c>
      <c r="P7" s="442">
        <f>landbouw!P8</f>
        <v>0</v>
      </c>
      <c r="Q7" s="440">
        <f t="shared" si="0"/>
        <v>659.02318016334857</v>
      </c>
    </row>
    <row r="8" spans="1:17">
      <c r="A8" s="440" t="s">
        <v>600</v>
      </c>
      <c r="B8" s="441">
        <f>industrie!B18</f>
        <v>4065.1368336700002</v>
      </c>
      <c r="C8" s="441">
        <f>industrie!C18</f>
        <v>763.07142857142867</v>
      </c>
      <c r="D8" s="441">
        <f>industrie!D18</f>
        <v>3120.8714205473229</v>
      </c>
      <c r="E8" s="441">
        <f>industrie!E18</f>
        <v>539.99262271590112</v>
      </c>
      <c r="F8" s="441">
        <f>industrie!F18</f>
        <v>2008.2221891258214</v>
      </c>
      <c r="G8" s="441">
        <f>industrie!G18</f>
        <v>0</v>
      </c>
      <c r="H8" s="441">
        <f>industrie!H18</f>
        <v>0</v>
      </c>
      <c r="I8" s="441">
        <f>industrie!I18</f>
        <v>0</v>
      </c>
      <c r="J8" s="441">
        <f>industrie!J18</f>
        <v>18.663055627349042</v>
      </c>
      <c r="K8" s="441">
        <f>industrie!K18</f>
        <v>0</v>
      </c>
      <c r="L8" s="441">
        <f>industrie!L18</f>
        <v>0</v>
      </c>
      <c r="M8" s="441">
        <f>industrie!M18</f>
        <v>0</v>
      </c>
      <c r="N8" s="441">
        <f>industrie!N18</f>
        <v>578.73961020192417</v>
      </c>
      <c r="O8" s="441">
        <f>industrie!O18</f>
        <v>0</v>
      </c>
      <c r="P8" s="442">
        <f>industrie!P18</f>
        <v>0</v>
      </c>
      <c r="Q8" s="440">
        <f t="shared" si="0"/>
        <v>11094.697160459747</v>
      </c>
    </row>
    <row r="9" spans="1:17" s="446" customFormat="1">
      <c r="A9" s="444" t="s">
        <v>549</v>
      </c>
      <c r="B9" s="445">
        <f>transport!B14</f>
        <v>51.769441309556143</v>
      </c>
      <c r="C9" s="445">
        <f>transport!C14</f>
        <v>0</v>
      </c>
      <c r="D9" s="445">
        <f>transport!D14</f>
        <v>87.917328253380759</v>
      </c>
      <c r="E9" s="445">
        <f>transport!E14</f>
        <v>406.15785494279231</v>
      </c>
      <c r="F9" s="445">
        <f>transport!F14</f>
        <v>0</v>
      </c>
      <c r="G9" s="445">
        <f>transport!G14</f>
        <v>141998.08716606969</v>
      </c>
      <c r="H9" s="445">
        <f>transport!H14</f>
        <v>30446.076395926499</v>
      </c>
      <c r="I9" s="445">
        <f>transport!I14</f>
        <v>0</v>
      </c>
      <c r="J9" s="445">
        <f>transport!J14</f>
        <v>0</v>
      </c>
      <c r="K9" s="445">
        <f>transport!K14</f>
        <v>0</v>
      </c>
      <c r="L9" s="445">
        <f>transport!L14</f>
        <v>0</v>
      </c>
      <c r="M9" s="445">
        <f>transport!M14</f>
        <v>5379.7265929174755</v>
      </c>
      <c r="N9" s="445">
        <f>transport!N14</f>
        <v>0</v>
      </c>
      <c r="O9" s="445">
        <f>transport!O14</f>
        <v>0</v>
      </c>
      <c r="P9" s="445">
        <f>transport!P14</f>
        <v>0</v>
      </c>
      <c r="Q9" s="444">
        <f>SUM(B9:P9)</f>
        <v>178369.73477941938</v>
      </c>
    </row>
    <row r="10" spans="1:17">
      <c r="A10" s="440" t="s">
        <v>539</v>
      </c>
      <c r="B10" s="441">
        <f>transport!B54</f>
        <v>20.396847586332846</v>
      </c>
      <c r="C10" s="441">
        <f>transport!C54</f>
        <v>0</v>
      </c>
      <c r="D10" s="441">
        <f>transport!D54</f>
        <v>0</v>
      </c>
      <c r="E10" s="441">
        <f>transport!E54</f>
        <v>0</v>
      </c>
      <c r="F10" s="441">
        <f>transport!F54</f>
        <v>0</v>
      </c>
      <c r="G10" s="441">
        <f>transport!G54</f>
        <v>3636.8011074751134</v>
      </c>
      <c r="H10" s="441">
        <f>transport!H54</f>
        <v>0</v>
      </c>
      <c r="I10" s="441">
        <f>transport!I54</f>
        <v>0</v>
      </c>
      <c r="J10" s="441">
        <f>transport!J54</f>
        <v>0</v>
      </c>
      <c r="K10" s="441">
        <f>transport!K54</f>
        <v>0</v>
      </c>
      <c r="L10" s="441">
        <f>transport!L54</f>
        <v>0</v>
      </c>
      <c r="M10" s="441">
        <f>transport!M54</f>
        <v>113.526839302266</v>
      </c>
      <c r="N10" s="441">
        <f>transport!N54</f>
        <v>0</v>
      </c>
      <c r="O10" s="441">
        <f>transport!O54</f>
        <v>0</v>
      </c>
      <c r="P10" s="442">
        <f>transport!P54</f>
        <v>0</v>
      </c>
      <c r="Q10" s="440">
        <f t="shared" si="0"/>
        <v>3770.7247943637126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2643.7173235</v>
      </c>
      <c r="C14" s="448"/>
      <c r="D14" s="448">
        <f>'SEAP template'!E25</f>
        <v>9425.3847707999994</v>
      </c>
      <c r="E14" s="448"/>
      <c r="F14" s="448"/>
      <c r="G14" s="448"/>
      <c r="H14" s="448"/>
      <c r="I14" s="448"/>
      <c r="J14" s="448"/>
      <c r="K14" s="448"/>
      <c r="L14" s="448"/>
      <c r="M14" s="448"/>
      <c r="N14" s="448"/>
      <c r="O14" s="448"/>
      <c r="P14" s="449"/>
      <c r="Q14" s="440">
        <f t="shared" si="0"/>
        <v>12069.1020943</v>
      </c>
    </row>
    <row r="15" spans="1:17" s="450" customFormat="1">
      <c r="A15" s="956" t="s">
        <v>543</v>
      </c>
      <c r="B15" s="896">
        <f ca="1">SUM(B4:B14)</f>
        <v>131550.17214690716</v>
      </c>
      <c r="C15" s="896">
        <f t="shared" ref="C15:Q15" ca="1" si="1">SUM(C4:C14)</f>
        <v>1663.0714285714289</v>
      </c>
      <c r="D15" s="896">
        <f t="shared" ca="1" si="1"/>
        <v>335207.9035565104</v>
      </c>
      <c r="E15" s="896">
        <f t="shared" si="1"/>
        <v>3071.3999272169608</v>
      </c>
      <c r="F15" s="896">
        <f t="shared" ca="1" si="1"/>
        <v>54306.775645734473</v>
      </c>
      <c r="G15" s="896">
        <f t="shared" si="1"/>
        <v>145634.88827354481</v>
      </c>
      <c r="H15" s="896">
        <f t="shared" si="1"/>
        <v>30446.076395926499</v>
      </c>
      <c r="I15" s="896">
        <f t="shared" si="1"/>
        <v>0</v>
      </c>
      <c r="J15" s="896">
        <f t="shared" si="1"/>
        <v>803.14313513650563</v>
      </c>
      <c r="K15" s="896">
        <f t="shared" si="1"/>
        <v>0</v>
      </c>
      <c r="L15" s="896">
        <f t="shared" ca="1" si="1"/>
        <v>0</v>
      </c>
      <c r="M15" s="896">
        <f t="shared" si="1"/>
        <v>5493.2534322197416</v>
      </c>
      <c r="N15" s="896">
        <f t="shared" ca="1" si="1"/>
        <v>22675.713756517001</v>
      </c>
      <c r="O15" s="896">
        <f t="shared" si="1"/>
        <v>240.75333333333336</v>
      </c>
      <c r="P15" s="896">
        <f t="shared" si="1"/>
        <v>1086.8000000000002</v>
      </c>
      <c r="Q15" s="896">
        <f t="shared" ca="1" si="1"/>
        <v>732179.9510316184</v>
      </c>
    </row>
    <row r="17" spans="1:17">
      <c r="A17" s="451" t="s">
        <v>544</v>
      </c>
      <c r="B17" s="714">
        <f ca="1">huishoudens!B10</f>
        <v>0.21354074973073212</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15176.977216241206</v>
      </c>
      <c r="C22" s="441">
        <f t="shared" ref="C22:C32" ca="1" si="3">C4*$C$17</f>
        <v>0</v>
      </c>
      <c r="D22" s="441">
        <f t="shared" ref="D22:D32" si="4">D4*$D$17</f>
        <v>48219.078466266496</v>
      </c>
      <c r="E22" s="441">
        <f t="shared" ref="E22:E32" si="5">E4*$E$17</f>
        <v>345.60576313232968</v>
      </c>
      <c r="F22" s="441">
        <f t="shared" ref="F22:F32" si="6">F4*$F$17</f>
        <v>11052.078752531655</v>
      </c>
      <c r="G22" s="441">
        <f t="shared" ref="G22:G32" si="7">G4*$G$17</f>
        <v>0</v>
      </c>
      <c r="H22" s="441">
        <f t="shared" ref="H22:H32" si="8">H4*$H$17</f>
        <v>0</v>
      </c>
      <c r="I22" s="441">
        <f t="shared" ref="I22:I32" si="9">I4*$I$17</f>
        <v>0</v>
      </c>
      <c r="J22" s="441">
        <f t="shared" ref="J22:J32" si="10">J4*$J$17</f>
        <v>270.23335466698404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75063.973552838666</v>
      </c>
    </row>
    <row r="23" spans="1:17">
      <c r="A23" s="440" t="s">
        <v>149</v>
      </c>
      <c r="B23" s="441">
        <f t="shared" ca="1" si="2"/>
        <v>11043.912568488306</v>
      </c>
      <c r="C23" s="441">
        <f t="shared" ca="1" si="3"/>
        <v>213.88235294117655</v>
      </c>
      <c r="D23" s="441">
        <f t="shared" ca="1" si="4"/>
        <v>16895.443966186351</v>
      </c>
      <c r="E23" s="441">
        <f t="shared" si="5"/>
        <v>136.42749306961147</v>
      </c>
      <c r="F23" s="441">
        <f t="shared" ca="1" si="6"/>
        <v>2825.3829317825466</v>
      </c>
      <c r="G23" s="441">
        <f t="shared" si="7"/>
        <v>0</v>
      </c>
      <c r="H23" s="441">
        <f t="shared" si="8"/>
        <v>0</v>
      </c>
      <c r="I23" s="441">
        <f t="shared" si="9"/>
        <v>0</v>
      </c>
      <c r="J23" s="441">
        <f t="shared" si="10"/>
        <v>2.6750770561045266E-2</v>
      </c>
      <c r="K23" s="441">
        <f t="shared" si="11"/>
        <v>0</v>
      </c>
      <c r="L23" s="441">
        <f t="shared" ca="1" si="12"/>
        <v>0</v>
      </c>
      <c r="M23" s="441">
        <f t="shared" si="13"/>
        <v>0</v>
      </c>
      <c r="N23" s="441">
        <f t="shared" ca="1" si="14"/>
        <v>0</v>
      </c>
      <c r="O23" s="441">
        <f t="shared" si="15"/>
        <v>0</v>
      </c>
      <c r="P23" s="442">
        <f t="shared" si="16"/>
        <v>0</v>
      </c>
      <c r="Q23" s="440">
        <f t="shared" ref="Q23:Q32" ca="1" si="17">SUM(B23:P23)</f>
        <v>31115.076063238554</v>
      </c>
    </row>
    <row r="24" spans="1:17">
      <c r="A24" s="440" t="s">
        <v>187</v>
      </c>
      <c r="B24" s="441">
        <f t="shared" ca="1" si="2"/>
        <v>403.49207992020968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403.49207992020968</v>
      </c>
    </row>
    <row r="25" spans="1:17">
      <c r="A25" s="440" t="s">
        <v>105</v>
      </c>
      <c r="B25" s="441">
        <f t="shared" ca="1" si="2"/>
        <v>18.916332815375366</v>
      </c>
      <c r="C25" s="441">
        <f t="shared" ca="1" si="3"/>
        <v>0</v>
      </c>
      <c r="D25" s="441">
        <f t="shared" si="4"/>
        <v>45.371035002921758</v>
      </c>
      <c r="E25" s="441">
        <f t="shared" si="5"/>
        <v>0.39836884778558107</v>
      </c>
      <c r="F25" s="441">
        <f t="shared" si="6"/>
        <v>86.252088600307388</v>
      </c>
      <c r="G25" s="441">
        <f t="shared" si="7"/>
        <v>0</v>
      </c>
      <c r="H25" s="441">
        <f t="shared" si="8"/>
        <v>0</v>
      </c>
      <c r="I25" s="441">
        <f t="shared" si="9"/>
        <v>0</v>
      </c>
      <c r="J25" s="441">
        <f t="shared" si="10"/>
        <v>7.4458427086963415</v>
      </c>
      <c r="K25" s="441">
        <f t="shared" si="11"/>
        <v>0</v>
      </c>
      <c r="L25" s="441">
        <f t="shared" si="12"/>
        <v>0</v>
      </c>
      <c r="M25" s="441">
        <f t="shared" si="13"/>
        <v>0</v>
      </c>
      <c r="N25" s="441">
        <f t="shared" si="14"/>
        <v>0</v>
      </c>
      <c r="O25" s="441">
        <f t="shared" si="15"/>
        <v>0</v>
      </c>
      <c r="P25" s="442">
        <f t="shared" si="16"/>
        <v>0</v>
      </c>
      <c r="Q25" s="440">
        <f t="shared" ca="1" si="17"/>
        <v>158.38366797508644</v>
      </c>
    </row>
    <row r="26" spans="1:17">
      <c r="A26" s="440" t="s">
        <v>600</v>
      </c>
      <c r="B26" s="441">
        <f t="shared" ca="1" si="2"/>
        <v>868.07236721990625</v>
      </c>
      <c r="C26" s="441">
        <f t="shared" ca="1" si="3"/>
        <v>181.34168067226895</v>
      </c>
      <c r="D26" s="441">
        <f t="shared" si="4"/>
        <v>630.41602695055929</v>
      </c>
      <c r="E26" s="441">
        <f t="shared" si="5"/>
        <v>122.57832535650955</v>
      </c>
      <c r="F26" s="441">
        <f t="shared" si="6"/>
        <v>536.19532449659437</v>
      </c>
      <c r="G26" s="441">
        <f t="shared" si="7"/>
        <v>0</v>
      </c>
      <c r="H26" s="441">
        <f t="shared" si="8"/>
        <v>0</v>
      </c>
      <c r="I26" s="441">
        <f t="shared" si="9"/>
        <v>0</v>
      </c>
      <c r="J26" s="441">
        <f t="shared" si="10"/>
        <v>6.6067216920815603</v>
      </c>
      <c r="K26" s="441">
        <f t="shared" si="11"/>
        <v>0</v>
      </c>
      <c r="L26" s="441">
        <f t="shared" si="12"/>
        <v>0</v>
      </c>
      <c r="M26" s="441">
        <f t="shared" si="13"/>
        <v>0</v>
      </c>
      <c r="N26" s="441">
        <f t="shared" si="14"/>
        <v>0</v>
      </c>
      <c r="O26" s="441">
        <f t="shared" si="15"/>
        <v>0</v>
      </c>
      <c r="P26" s="442">
        <f t="shared" si="16"/>
        <v>0</v>
      </c>
      <c r="Q26" s="440">
        <f t="shared" ca="1" si="17"/>
        <v>2345.21044638792</v>
      </c>
    </row>
    <row r="27" spans="1:17" s="446" customFormat="1">
      <c r="A27" s="444" t="s">
        <v>549</v>
      </c>
      <c r="B27" s="708">
        <f t="shared" ca="1" si="2"/>
        <v>11.054885310383753</v>
      </c>
      <c r="C27" s="445">
        <f t="shared" ca="1" si="3"/>
        <v>0</v>
      </c>
      <c r="D27" s="445">
        <f t="shared" si="4"/>
        <v>17.759300307182915</v>
      </c>
      <c r="E27" s="445">
        <f t="shared" si="5"/>
        <v>92.197833072013864</v>
      </c>
      <c r="F27" s="445">
        <f t="shared" si="6"/>
        <v>0</v>
      </c>
      <c r="G27" s="445">
        <f t="shared" si="7"/>
        <v>37913.489273340609</v>
      </c>
      <c r="H27" s="445">
        <f t="shared" si="8"/>
        <v>7581.0730225856978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45615.574314615886</v>
      </c>
    </row>
    <row r="28" spans="1:17">
      <c r="A28" s="440" t="s">
        <v>539</v>
      </c>
      <c r="B28" s="441">
        <f t="shared" ca="1" si="2"/>
        <v>4.3555581257289901</v>
      </c>
      <c r="C28" s="441">
        <f t="shared" ca="1" si="3"/>
        <v>0</v>
      </c>
      <c r="D28" s="441">
        <f t="shared" si="4"/>
        <v>0</v>
      </c>
      <c r="E28" s="441">
        <f t="shared" si="5"/>
        <v>0</v>
      </c>
      <c r="F28" s="441">
        <f t="shared" si="6"/>
        <v>0</v>
      </c>
      <c r="G28" s="441">
        <f t="shared" si="7"/>
        <v>971.0258956958553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975.38145382158427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564.54137933631444</v>
      </c>
      <c r="C32" s="441">
        <f t="shared" ca="1" si="3"/>
        <v>0</v>
      </c>
      <c r="D32" s="441">
        <f t="shared" si="4"/>
        <v>1903.9277237015999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2468.4691030379145</v>
      </c>
    </row>
    <row r="33" spans="1:17" s="450" customFormat="1">
      <c r="A33" s="956" t="s">
        <v>543</v>
      </c>
      <c r="B33" s="896">
        <f ca="1">SUM(B22:B32)</f>
        <v>28091.322387457425</v>
      </c>
      <c r="C33" s="896">
        <f t="shared" ref="C33:Q33" ca="1" si="18">SUM(C22:C32)</f>
        <v>395.2240336134455</v>
      </c>
      <c r="D33" s="896">
        <f t="shared" ca="1" si="18"/>
        <v>67711.996518415122</v>
      </c>
      <c r="E33" s="896">
        <f t="shared" si="18"/>
        <v>697.20778347825024</v>
      </c>
      <c r="F33" s="896">
        <f t="shared" ca="1" si="18"/>
        <v>14499.909097411106</v>
      </c>
      <c r="G33" s="896">
        <f t="shared" si="18"/>
        <v>38884.515169036466</v>
      </c>
      <c r="H33" s="896">
        <f t="shared" si="18"/>
        <v>7581.0730225856978</v>
      </c>
      <c r="I33" s="896">
        <f t="shared" si="18"/>
        <v>0</v>
      </c>
      <c r="J33" s="896">
        <f t="shared" si="18"/>
        <v>284.31266983832296</v>
      </c>
      <c r="K33" s="896">
        <f t="shared" si="18"/>
        <v>0</v>
      </c>
      <c r="L33" s="896">
        <f t="shared" ca="1" si="18"/>
        <v>0</v>
      </c>
      <c r="M33" s="896">
        <f t="shared" si="18"/>
        <v>0</v>
      </c>
      <c r="N33" s="896">
        <f t="shared" ca="1" si="18"/>
        <v>0</v>
      </c>
      <c r="O33" s="896">
        <f t="shared" si="18"/>
        <v>0</v>
      </c>
      <c r="P33" s="896">
        <f t="shared" si="18"/>
        <v>0</v>
      </c>
      <c r="Q33" s="896">
        <f t="shared" ca="1" si="18"/>
        <v>158145.56068183581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4527.8069255134214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1164.1500000000001</v>
      </c>
      <c r="D8" s="973">
        <f>'SEAP template'!D76</f>
        <v>1369.5882352941178</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276.65682352941184</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4527.8069255134214</v>
      </c>
      <c r="C10" s="977">
        <f>SUM(C4:C9)</f>
        <v>1164.1500000000001</v>
      </c>
      <c r="D10" s="977">
        <f t="shared" ref="D10:H10" si="0">SUM(D8:D9)</f>
        <v>1369.5882352941178</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276.65682352941184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0.21354074973073212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1663.0714285714289</v>
      </c>
      <c r="D17" s="974">
        <f>'SEAP template'!D87</f>
        <v>1956.55462184874</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395.2240336134455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1663.0714285714289</v>
      </c>
      <c r="D20" s="977">
        <f t="shared" ref="D20:H20" si="2">SUM(D17:D19)</f>
        <v>1956.55462184874</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395.2240336134455</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0.21354074973073212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2022-07-26T10:55:32Z</dcterms:modified>
</cp:coreProperties>
</file>