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49D1270-9FC2-4065-8384-6B37DFD9A60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51" i="18"/>
  <c r="V51" i="18"/>
  <c r="U51" i="18"/>
  <c r="T51" i="18"/>
  <c r="S51" i="18"/>
  <c r="R51" i="18"/>
  <c r="Q51" i="18"/>
  <c r="P51" i="18"/>
  <c r="O51" i="18"/>
  <c r="N51" i="18"/>
  <c r="M51" i="18"/>
  <c r="W50" i="18"/>
  <c r="V50" i="18"/>
  <c r="U50" i="18"/>
  <c r="T50" i="18"/>
  <c r="S50" i="18"/>
  <c r="R50" i="18"/>
  <c r="Q50" i="18"/>
  <c r="P50" i="18"/>
  <c r="O50" i="18"/>
  <c r="N50" i="18"/>
  <c r="M50" i="18"/>
  <c r="W49" i="18"/>
  <c r="V49" i="18"/>
  <c r="U49" i="18"/>
  <c r="T49" i="18"/>
  <c r="S49" i="18"/>
  <c r="R49" i="18"/>
  <c r="Q49" i="18"/>
  <c r="P49" i="18"/>
  <c r="O49" i="18"/>
  <c r="N49" i="18"/>
  <c r="M49" i="18"/>
  <c r="W48" i="18"/>
  <c r="H9" i="18"/>
  <c r="M77" i="14"/>
  <c r="M9" i="59"/>
  <c r="V48" i="18"/>
  <c r="U48" i="18"/>
  <c r="T48" i="18"/>
  <c r="S48" i="18"/>
  <c r="E9" i="18"/>
  <c r="F77" i="14"/>
  <c r="F9" i="59"/>
  <c r="R48" i="18"/>
  <c r="Q48" i="18"/>
  <c r="P48" i="18"/>
  <c r="C9" i="18"/>
  <c r="D77" i="14"/>
  <c r="D9" i="59"/>
  <c r="O48" i="18"/>
  <c r="N48" i="18"/>
  <c r="B9" i="18"/>
  <c r="M48" i="18"/>
  <c r="W43" i="18"/>
  <c r="V43" i="18"/>
  <c r="U43" i="18"/>
  <c r="T43" i="18"/>
  <c r="S43" i="18"/>
  <c r="R43" i="18"/>
  <c r="Q43" i="18"/>
  <c r="P43" i="18"/>
  <c r="O43" i="18"/>
  <c r="N43" i="18"/>
  <c r="M43" i="18"/>
  <c r="W42" i="18"/>
  <c r="V42" i="18"/>
  <c r="U42" i="18"/>
  <c r="T42" i="18"/>
  <c r="S42" i="18"/>
  <c r="F13" i="15"/>
  <c r="R42" i="18"/>
  <c r="Q42" i="18"/>
  <c r="P42" i="18"/>
  <c r="O42" i="18"/>
  <c r="C13" i="15"/>
  <c r="N42" i="18"/>
  <c r="B13" i="15"/>
  <c r="M42" i="18"/>
  <c r="W41" i="18"/>
  <c r="V41" i="18"/>
  <c r="U41" i="18"/>
  <c r="T41" i="18"/>
  <c r="S41" i="18"/>
  <c r="R41" i="18"/>
  <c r="Q41" i="18"/>
  <c r="P41" i="18"/>
  <c r="O41" i="18"/>
  <c r="N41" i="18"/>
  <c r="M41" i="18"/>
  <c r="W40" i="18"/>
  <c r="V40" i="18"/>
  <c r="U40" i="18"/>
  <c r="T40" i="18"/>
  <c r="S40" i="18"/>
  <c r="R40" i="18"/>
  <c r="Q40" i="18"/>
  <c r="P40" i="18"/>
  <c r="O40" i="18"/>
  <c r="N40" i="18"/>
  <c r="B8" i="18"/>
  <c r="M40"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57" i="18"/>
  <c r="I9" i="18"/>
  <c r="I77" i="14"/>
  <c r="I9" i="59"/>
  <c r="B17" i="18"/>
  <c r="B20" i="18"/>
  <c r="C6" i="17"/>
  <c r="E10" i="59"/>
  <c r="G77" i="14"/>
  <c r="G9" i="59"/>
  <c r="G10" i="59"/>
  <c r="J9" i="18"/>
  <c r="J77" i="14"/>
  <c r="J9" i="59"/>
  <c r="E20" i="59"/>
  <c r="C57" i="18"/>
  <c r="I60"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60" i="18"/>
  <c r="I61" i="18"/>
  <c r="H17" i="18"/>
  <c r="E61" i="18"/>
  <c r="E17" i="18"/>
  <c r="H61" i="18"/>
  <c r="D61" i="18"/>
  <c r="G61" i="18"/>
  <c r="C61" i="18"/>
  <c r="F61" i="18"/>
  <c r="B61" i="18"/>
  <c r="C17" i="18"/>
  <c r="Q14" i="48"/>
  <c r="O24" i="48"/>
  <c r="O30" i="48"/>
  <c r="P24" i="48"/>
  <c r="P30" i="48"/>
  <c r="E78" i="14"/>
  <c r="E90" i="14"/>
  <c r="N78" i="14"/>
  <c r="B60" i="18"/>
  <c r="C8" i="18"/>
  <c r="C10" i="18"/>
  <c r="Q77" i="14"/>
  <c r="P9" i="59"/>
  <c r="O9" i="18"/>
  <c r="G78" i="14"/>
  <c r="C77" i="14"/>
  <c r="C9" i="59"/>
  <c r="F60" i="18"/>
  <c r="G60" i="18"/>
  <c r="I8" i="18"/>
  <c r="H60" i="18"/>
  <c r="C60" i="18"/>
  <c r="E60"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<sst xmlns="http://schemas.openxmlformats.org/spreadsheetml/2006/main" count="2476" uniqueCount="895">
  <si>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</si>
  <si>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</si>
  <si>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</si>
  <si>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</si>
  <si>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</si>
  <si>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</si>
  <si>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</si>
  <si>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</si>
  <si>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</si>
  <si>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</si>
  <si>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</si>
  <si>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</si>
  <si>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</si>
  <si>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</si>
  <si>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</si>
  <si>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</si>
  <si>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</si>
  <si>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</si>
  <si>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</si>
  <si>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</si>
  <si>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</si>
  <si>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</si>
  <si>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</si>
  <si>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</si>
  <si>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</si>
  <si>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</si>
  <si>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</si>
  <si>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</si>
  <si>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</si>
  <si>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</si>
  <si>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</si>
  <si>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</si>
  <si>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</si>
  <si>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</si>
  <si>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</si>
  <si>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</si>
  <si>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</si>
  <si>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</si>
  <si>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</si>
  <si>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</si>
  <si>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</si>
  <si>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</si>
  <si>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</si>
  <si>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</si>
  <si>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</si>
  <si>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</si>
  <si>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</si>
  <si>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</si>
  <si>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</si>
  <si>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</si>
  <si>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</si>
  <si>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</si>
  <si>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</si>
  <si>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</si>
  <si>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</si>
  <si>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</si>
  <si>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</si>
  <si>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</si>
  <si>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</si>
  <si>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</si>
  <si>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</si>
  <si>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</si>
  <si>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</si>
  <si>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</si>
  <si>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</si>
  <si>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</si>
  <si>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</si>
  <si>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</si>
  <si>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</si>
  <si>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</si>
  <si>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</si>
  <si>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</si>
  <si>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</si>
  <si>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</si>
  <si>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</si>
  <si>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</si>
  <si>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</si>
  <si>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</si>
  <si>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</si>
  <si>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</si>
  <si>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</si>
  <si>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</si>
  <si>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</si>
  <si>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</si>
  <si>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</si>
  <si>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</si>
  <si>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</si>
  <si>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</si>
  <si>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</si>
  <si>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</si>
  <si>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</si>
  <si>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</si>
  <si>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</si>
  <si>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</si>
  <si>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</si>
  <si>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</si>
  <si>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</si>
  <si>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</si>
  <si>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</si>
  <si>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</si>
  <si>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</si>
  <si>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</si>
  <si>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</si>
  <si>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</si>
  <si>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</si>
  <si>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</si>
  <si>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</si>
  <si>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</si>
  <si>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</si>
  <si>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</si>
  <si>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</si>
  <si>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</si>
  <si>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</si>
  <si>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</si>
  <si>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</si>
  <si>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</si>
  <si>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</si>
  <si>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</si>
  <si>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</si>
  <si>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</si>
  <si>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</si>
  <si>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</si>
  <si>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</si>
  <si>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</si>
  <si>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</si>
  <si>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</si>
  <si>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</si>
  <si>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</si>
  <si>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</si>
  <si>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</si>
  <si>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</si>
  <si>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</si>
  <si>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</si>
  <si>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</si>
  <si>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</si>
  <si>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</si>
  <si>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</si>
  <si>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</si>
  <si>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</si>
  <si>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</si>
  <si>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</si>
  <si>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</si>
  <si>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</si>
  <si>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</si>
  <si>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</si>
  <si>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</si>
  <si>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</si>
  <si>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</si>
  <si>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</si>
  <si>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</si>
  <si>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</si>
  <si>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</si>
  <si>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</si>
  <si>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</si>
  <si>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</si>
  <si>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</si>
  <si>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</si>
  <si>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</si>
  <si>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</si>
  <si>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</si>
  <si>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</si>
  <si>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</si>
  <si>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</si>
  <si>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</si>
  <si>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</si>
  <si>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</si>
  <si>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</si>
  <si>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</si>
  <si>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</si>
  <si>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</si>
  <si>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</si>
  <si>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</si>
  <si>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</si>
  <si>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</si>
  <si>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</si>
  <si>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</si>
  <si>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</si>
  <si>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</si>
  <si>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</si>
  <si>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</si>
  <si>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</si>
  <si>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</si>
  <si>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</si>
  <si>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</si>
  <si>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</si>
  <si>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</si>
  <si>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</si>
  <si>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</si>
  <si>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</si>
  <si>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</si>
  <si>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</si>
  <si>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</si>
  <si>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</si>
  <si>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</si>
  <si>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</si>
  <si>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</si>
  <si>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</si>
  <si>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</si>
  <si>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</si>
  <si>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</si>
  <si>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</si>
  <si>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</si>
  <si>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</si>
  <si>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</si>
  <si>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</si>
  <si>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</si>
  <si>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</si>
  <si>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</si>
  <si>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</si>
  <si>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</si>
  <si>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</si>
  <si>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</si>
  <si>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</si>
  <si>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</si>
  <si>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</si>
  <si>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</si>
  <si>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</si>
  <si>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</si>
  <si>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</si>
  <si>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</si>
  <si>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</si>
  <si>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</si>
  <si>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</si>
  <si>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</si>
  <si>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</si>
  <si>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</si>
  <si>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</si>
  <si>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</si>
  <si>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</si>
  <si>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</si>
  <si>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</si>
  <si>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</si>
  <si>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</si>
  <si>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</si>
  <si>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</si>
  <si>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</si>
  <si>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</si>
  <si>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</si>
  <si>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</si>
  <si>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</si>
  <si>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</si>
  <si>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</si>
  <si>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</si>
  <si>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</si>
  <si>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</si>
  <si>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</si>
  <si>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</si>
  <si>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</si>
  <si>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</si>
  <si>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</si>
  <si>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</si>
  <si>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</si>
  <si>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</si>
  <si>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</si>
  <si>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</si>
  <si>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</si>
  <si>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</si>
  <si>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</si>
  <si>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</si>
  <si>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</si>
  <si>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</si>
  <si>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</si>
  <si>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</si>
  <si>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</si>
  <si>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</si>
  <si>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</si>
  <si>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</si>
  <si>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</si>
  <si>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</si>
  <si>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</si>
  <si>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</si>
  <si>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</si>
  <si>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</si>
  <si>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</si>
  <si>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</si>
  <si>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</si>
  <si>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</si>
  <si>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</si>
  <si>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</si>
  <si>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</si>
  <si>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</si>
  <si>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</si>
  <si>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</si>
  <si>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</si>
  <si>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</si>
  <si>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</si>
  <si>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</si>
  <si>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</si>
  <si>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</si>
  <si>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</si>
  <si>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</si>
  <si>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</si>
  <si>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</si>
  <si>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</si>
  <si>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</si>
  <si>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</si>
  <si>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</si>
  <si>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</si>
  <si>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</si>
  <si>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</si>
  <si>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</si>
  <si>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</si>
  <si>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</si>
  <si>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</si>
  <si>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</si>
  <si>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</si>
  <si>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</si>
  <si>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</si>
  <si>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</si>
  <si>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</si>
  <si>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</si>
  <si>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</si>
  <si>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</si>
  <si>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</si>
  <si>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</si>
  <si>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</si>
  <si>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</si>
  <si>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</si>
  <si>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</si>
  <si>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</si>
  <si>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</si>
  <si>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</si>
  <si>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</si>
  <si>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</si>
  <si>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</si>
  <si>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</si>
  <si>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</si>
  <si>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</si>
  <si>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</si>
  <si>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</si>
  <si>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</si>
  <si>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</si>
  <si>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</si>
  <si>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</si>
  <si>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</si>
  <si>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</si>
  <si>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</si>
  <si>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</si>
  <si>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</si>
  <si>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</si>
  <si>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</si>
  <si>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</si>
  <si>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</si>
  <si>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</si>
  <si>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</si>
  <si>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</si>
  <si>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</si>
  <si>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</si>
  <si>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</si>
  <si>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</si>
  <si>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</si>
  <si>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</si>
  <si>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</si>
  <si>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</si>
  <si>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</si>
  <si>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</si>
  <si>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</si>
  <si>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</si>
  <si>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</si>
  <si>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</si>
  <si>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</si>
  <si>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</si>
  <si>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</si>
  <si>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</si>
  <si>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</si>
  <si>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</si>
  <si>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</si>
  <si>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</si>
  <si>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</si>
  <si>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</si>
  <si>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</si>
  <si>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</si>
  <si>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</si>
  <si>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</si>
  <si>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</si>
  <si>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</si>
  <si>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</si>
  <si>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</si>
  <si>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</si>
  <si>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</si>
  <si>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</si>
  <si>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</si>
  <si>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</si>
  <si>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</si>
  <si>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</si>
  <si>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</si>
  <si>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</si>
  <si>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</si>
  <si>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</si>
  <si>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</si>
  <si>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</si>
  <si>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</si>
  <si>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</si>
  <si>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</si>
  <si>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</si>
  <si>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</si>
  <si>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</si>
  <si>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</si>
  <si>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</si>
  <si>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</si>
  <si>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</si>
  <si>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</si>
  <si>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</si>
  <si>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</si>
  <si>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</si>
  <si>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</si>
  <si>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</si>
  <si>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</si>
  <si>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</si>
  <si>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</si>
  <si>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</si>
  <si>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</si>
  <si>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</si>
  <si>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</si>
  <si>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</si>
  <si>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</si>
  <si>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</si>
  <si>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</si>
  <si>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</si>
  <si>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</si>
  <si>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</si>
  <si>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</si>
  <si>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</si>
  <si>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</si>
  <si>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</si>
  <si>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</si>
  <si>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</si>
  <si>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</si>
  <si>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</si>
  <si>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</si>
  <si>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</si>
  <si>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</si>
  <si>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</si>
  <si>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</si>
  <si>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</si>
  <si>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</si>
  <si>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</si>
  <si>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</si>
  <si>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</si>
  <si>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</si>
  <si>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</si>
  <si>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</si>
  <si>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</si>
  <si>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</si>
  <si>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</si>
  <si>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</si>
  <si>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</si>
  <si>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</si>
  <si>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</si>
  <si>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</si>
  <si>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</si>
  <si>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</si>
  <si>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</si>
  <si>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</si>
  <si>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</si>
  <si>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</si>
  <si>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</si>
  <si>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</si>
  <si>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</si>
  <si>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</si>
  <si>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</si>
  <si>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</si>
  <si>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</si>
  <si>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</si>
  <si>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</si>
  <si>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</si>
  <si>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</si>
  <si>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</si>
  <si>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</si>
  <si>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</si>
  <si>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</si>
  <si>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</si>
  <si>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</si>
  <si>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</si>
  <si>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</si>
  <si>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</si>
  <si>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</si>
  <si>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</si>
  <si>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</si>
  <si>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</si>
  <si>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</si>
  <si>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</si>
  <si>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</si>
  <si>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</si>
  <si>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</si>
  <si>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</si>
  <si>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</si>
  <si>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</si>
  <si>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</si>
  <si>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</si>
  <si>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</si>
  <si>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</si>
  <si>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</si>
  <si>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</si>
  <si>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</si>
  <si>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</si>
  <si>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</si>
  <si>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</si>
  <si>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</si>
  <si>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</si>
  <si>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</si>
  <si>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</si>
  <si>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</si>
  <si>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</si>
  <si>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</si>
  <si>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</si>
  <si>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</si>
  <si>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</si>
  <si>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</si>
  <si>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</si>
  <si>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</si>
  <si>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</si>
  <si>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</si>
  <si>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</si>
  <si>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</si>
  <si>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</si>
  <si>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</si>
  <si>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</si>
  <si>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</si>
  <si>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</si>
  <si>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</si>
  <si>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</si>
  <si>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</si>
  <si>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</si>
  <si>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</si>
  <si>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</si>
  <si>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</si>
  <si>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</si>
  <si>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</si>
  <si>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</si>
  <si>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</si>
  <si>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</si>
  <si>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</si>
  <si>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</si>
  <si>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</si>
  <si>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</si>
  <si>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</si>
  <si>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</si>
  <si>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</si>
  <si>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</si>
  <si>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</si>
  <si>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</si>
  <si>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</si>
  <si>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</si>
  <si>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</si>
  <si>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</si>
  <si>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</si>
  <si>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</si>
  <si>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</si>
  <si>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</si>
  <si>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</si>
  <si>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</si>
  <si>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</si>
  <si>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</si>
  <si>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</si>
  <si>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</si>
  <si>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</si>
  <si>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</si>
  <si>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</si>
  <si>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</si>
  <si>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</si>
  <si>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</si>
  <si>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</si>
  <si>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</si>
  <si>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</si>
  <si>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</si>
  <si>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</si>
  <si>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</si>
  <si>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</si>
  <si>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</si>
  <si>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</si>
  <si>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</si>
  <si>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</si>
  <si>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</si>
  <si>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</si>
  <si>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</si>
  <si>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</si>
  <si>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</si>
  <si>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</si>
  <si>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</si>
  <si>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</si>
  <si>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</si>
  <si>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</si>
  <si>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</si>
  <si>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</si>
  <si>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</si>
  <si>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</si>
  <si>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</si>
  <si>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</si>
  <si>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</si>
  <si>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</si>
  <si>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</si>
  <si>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</si>
  <si>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</si>
  <si>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</si>
  <si>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</si>
  <si>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</si>
  <si>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</si>
  <si>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</si>
  <si>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</si>
  <si>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</si>
  <si>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</si>
  <si>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</si>
  <si>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</si>
  <si>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</si>
  <si>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</si>
  <si>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</si>
  <si>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</si>
  <si>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</si>
  <si>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</si>
  <si>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</si>
  <si>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</si>
  <si>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</si>
  <si>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</si>
  <si>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</si>
  <si>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</si>
  <si>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</si>
  <si>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</si>
  <si>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</si>
  <si>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</si>
  <si>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</si>
  <si>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</si>
  <si>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</si>
  <si>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</si>
  <si>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</si>
  <si>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</si>
  <si>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</si>
  <si>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</si>
  <si>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</si>
  <si>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</si>
  <si>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</si>
  <si>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</si>
  <si>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</si>
  <si>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</si>
  <si>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</si>
  <si>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</si>
  <si>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</si>
  <si>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</si>
  <si>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</si>
  <si>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</si>
  <si>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</si>
  <si>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</si>
  <si>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</si>
  <si>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</si>
  <si>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</si>
  <si>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</si>
  <si>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</si>
  <si>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</si>
  <si>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</si>
  <si>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</si>
  <si>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</si>
  <si>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</si>
  <si>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</si>
  <si>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</si>
  <si>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</si>
  <si>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</si>
  <si>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</si>
  <si>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</si>
  <si>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</si>
  <si>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</si>
  <si>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</si>
  <si>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</si>
  <si>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</si>
  <si>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</si>
  <si>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</si>
  <si>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</si>
  <si>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</si>
  <si>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</si>
  <si>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</si>
  <si>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</si>
  <si>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</si>
  <si>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</si>
  <si>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</si>
  <si>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</si>
  <si>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</si>
  <si>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</si>
  <si>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</si>
  <si>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</si>
  <si>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</si>
  <si>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</si>
  <si>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</si>
  <si>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</si>
  <si>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</si>
  <si>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</si>
  <si>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</si>
  <si>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</si>
  <si>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</si>
  <si>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</si>
  <si>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</si>
  <si>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</si>
  <si>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</si>
  <si>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</si>
  <si>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</si>
  <si>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</si>
  <si>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</si>
  <si>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</si>
  <si>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</si>
  <si>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</si>
  <si>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</si>
  <si>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</si>
  <si>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</si>
  <si>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</si>
  <si>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</si>
  <si>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</si>
  <si>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</si>
  <si>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</si>
  <si>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</si>
  <si>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</si>
  <si>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</si>
  <si>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</si>
  <si>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</si>
  <si>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</si>
  <si>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</si>
  <si>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</si>
  <si>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</si>
  <si>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</si>
  <si>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</si>
  <si>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</si>
  <si>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</si>
  <si>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</si>
  <si>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</si>
  <si>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</si>
  <si>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</si>
  <si>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</si>
  <si>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</si>
  <si>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</si>
  <si>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</si>
  <si>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</si>
  <si>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</si>
  <si>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</si>
  <si>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</si>
  <si>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</si>
  <si>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</si>
  <si>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</si>
  <si>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</si>
  <si>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</si>
  <si>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</si>
  <si>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</si>
  <si>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</si>
  <si>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</si>
  <si>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</si>
  <si>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</si>
  <si>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</si>
  <si>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</si>
  <si>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</si>
  <si>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</si>
  <si>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</si>
  <si>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</si>
  <si>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</si>
  <si>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</si>
  <si>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</si>
  <si>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</si>
  <si>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</si>
  <si>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</si>
  <si>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</si>
  <si>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</si>
  <si>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</si>
  <si>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</si>
  <si>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</si>
  <si>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</si>
  <si>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</si>
  <si>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</si>
  <si>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</si>
  <si>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</si>
  <si>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</si>
  <si>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</si>
  <si>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</si>
  <si>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</si>
  <si>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</si>
  <si>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</si>
  <si>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</si>
  <si>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</si>
  <si>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</si>
  <si>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</si>
  <si>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</si>
  <si>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</si>
  <si>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</si>
  <si>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</si>
  <si>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</si>
  <si>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</si>
  <si>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</si>
  <si>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</si>
  <si>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</si>
  <si>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</si>
  <si>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</si>
  <si>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</si>
  <si>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</si>
  <si>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</si>
  <si>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</si>
  <si>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</si>
  <si>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</si>
  <si>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</si>
  <si>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</si>
  <si>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</si>
  <si>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</si>
  <si>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</si>
  <si>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</si>
  <si>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</si>
  <si>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</si>
  <si>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</si>
  <si>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</si>
  <si>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</si>
  <si>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</si>
  <si>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</si>
  <si>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</si>
  <si>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</si>
  <si>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</si>
  <si>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</si>
  <si>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</si>
  <si>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</si>
  <si>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</si>
  <si>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</si>
  <si>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</si>
  <si>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</si>
  <si>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</si>
  <si>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</si>
  <si>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</si>
  <si>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</si>
  <si>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</si>
  <si>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</si>
  <si>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</si>
  <si>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</si>
  <si>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</si>
  <si>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</si>
  <si>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</si>
  <si>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</si>
  <si>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</si>
  <si>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</si>
  <si>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</si>
  <si>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</si>
  <si>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</si>
  <si>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</si>
  <si>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</si>
  <si>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</si>
  <si>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</si>
  <si>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</si>
  <si>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</si>
  <si>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</si>
  <si>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</si>
  <si>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</si>
  <si>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</si>
  <si>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</si>
  <si>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</si>
  <si>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</si>
  <si>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</si>
  <si>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</si>
  <si>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</si>
  <si>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</si>
  <si>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</si>
  <si>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</si>
  <si>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</si>
  <si>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</si>
  <si>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</si>
  <si>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</si>
  <si>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</si>
  <si>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</si>
  <si>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</si>
  <si>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</si>
  <si>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</si>
  <si>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</si>
  <si>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</si>
  <si>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</si>
  <si>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</si>
  <si>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</si>
  <si>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</si>
  <si>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</si>
  <si>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</si>
  <si>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</si>
  <si>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</si>
  <si>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</si>
  <si>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</si>
  <si>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</si>
  <si>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</si>
  <si>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</si>
  <si>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</si>
  <si>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</si>
  <si>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</si>
  <si>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</si>
  <si>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</si>
  <si>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</si>
  <si>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</si>
  <si>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</si>
  <si>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11002</t>
  </si>
  <si>
    <t>ANTWERPEN</t>
  </si>
  <si>
    <t>Paarden&amp;pony's 200 - 600 kg</t>
  </si>
  <si>
    <t>Paarden&amp;pony's &lt; 200 kg</t>
  </si>
  <si>
    <t>vloeibaar gas (MWh)</t>
  </si>
  <si>
    <t>interne verbrandingsmotor</t>
  </si>
  <si>
    <t>WKK interne verbrandinsgmotor (gas)</t>
  </si>
  <si>
    <t>IMEA</t>
  </si>
  <si>
    <t>IVEG</t>
  </si>
  <si>
    <t>brandstofcel</t>
  </si>
  <si>
    <t>biogas - RWZI</t>
  </si>
  <si>
    <t>niet WKK interne verbrandingsmotor (gas)</t>
  </si>
  <si>
    <t>biogas - stortgas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</si>
</sst>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ACAC22F-6C3E-4F1A-B949-6D3065354AB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3943395.2451887988</c:v>
                </c:pt>
                <c:pt idx="1">
                  <c:v>2914171.2850100631</c:v>
                </c:pt>
                <c:pt idx="2">
                  <c:v>29030.080000000002</c:v>
                </c:pt>
                <c:pt idx="3">
                  <c:v>136146.36154302774</c:v>
                </c:pt>
                <c:pt idx="4">
                  <c:v>781363.22894412244</c:v>
                </c:pt>
                <c:pt idx="5">
                  <c:v>3015219.4466271945</c:v>
                </c:pt>
                <c:pt idx="6">
                  <c:v>83803.990597347831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3943395.2451887988</c:v>
                </c:pt>
                <c:pt idx="1">
                  <c:v>2914171.2850100631</c:v>
                </c:pt>
                <c:pt idx="2">
                  <c:v>29030.080000000002</c:v>
                </c:pt>
                <c:pt idx="3">
                  <c:v>136146.36154302774</c:v>
                </c:pt>
                <c:pt idx="4">
                  <c:v>781363.22894412244</c:v>
                </c:pt>
                <c:pt idx="5">
                  <c:v>3015219.4466271945</c:v>
                </c:pt>
                <c:pt idx="6">
                  <c:v>83803.990597347831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802955.0244732087</c:v>
                </c:pt>
                <c:pt idx="2">
                  <c:v>608378.89236178389</c:v>
                </c:pt>
                <c:pt idx="3">
                  <c:v>6002.6506070700798</c:v>
                </c:pt>
                <c:pt idx="4">
                  <c:v>34069.884548290378</c:v>
                </c:pt>
                <c:pt idx="5">
                  <c:v>159770.72451124885</c:v>
                </c:pt>
                <c:pt idx="6">
                  <c:v>772859.9287071185</c:v>
                </c:pt>
                <c:pt idx="7">
                  <c:v>19904.14931020642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802955.0244732087</c:v>
                </c:pt>
                <c:pt idx="2">
                  <c:v>608378.89236178389</c:v>
                </c:pt>
                <c:pt idx="3">
                  <c:v>6002.6506070700798</c:v>
                </c:pt>
                <c:pt idx="4">
                  <c:v>34069.884548290378</c:v>
                </c:pt>
                <c:pt idx="5">
                  <c:v>159770.72451124885</c:v>
                </c:pt>
                <c:pt idx="6">
                  <c:v>772859.9287071185</c:v>
                </c:pt>
                <c:pt idx="7">
                  <c:v>19904.14931020642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11002</v>
      </c>
      <c r="B6" s="380"/>
      <c r="C6" s="381"/>
    </row>
    <row r="7" spans="1:7" s="378" customFormat="1" ht="15.75" customHeight="1">
      <c r="A7" s="382" t="str">
        <f>txtMunicipality</f>
        <v>ANTWERPEN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0.20677347796044929</v>
      </c>
      <c r="C17" s="488">
        <f ca="1">'EF ele_warmte'!B22</f>
        <v>0.23764619518987823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0.20677347796044929</v>
      </c>
      <c r="C29" s="489">
        <f ca="1">'EF ele_warmte'!B22</f>
        <v>0.23764619518987823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235065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1364.38</v>
      </c>
      <c r="C14" s="322"/>
      <c r="D14" s="322"/>
      <c r="E14" s="322"/>
      <c r="F14" s="322"/>
    </row>
    <row r="15" spans="1:6">
      <c r="A15" s="1248" t="s">
        <v>177</v>
      </c>
      <c r="B15" s="1249">
        <v>6</v>
      </c>
      <c r="C15" s="322"/>
      <c r="D15" s="322"/>
      <c r="E15" s="322"/>
      <c r="F15" s="322"/>
    </row>
    <row r="16" spans="1:6">
      <c r="A16" s="1248" t="s">
        <v>6</v>
      </c>
      <c r="B16" s="1249">
        <v>90</v>
      </c>
      <c r="C16" s="322"/>
      <c r="D16" s="322"/>
      <c r="E16" s="322"/>
      <c r="F16" s="322"/>
    </row>
    <row r="17" spans="1:6">
      <c r="A17" s="1248" t="s">
        <v>7</v>
      </c>
      <c r="B17" s="1249">
        <v>171</v>
      </c>
      <c r="C17" s="322"/>
      <c r="D17" s="322"/>
      <c r="E17" s="322"/>
      <c r="F17" s="322"/>
    </row>
    <row r="18" spans="1:6">
      <c r="A18" s="1248" t="s">
        <v>8</v>
      </c>
      <c r="B18" s="1249">
        <v>196</v>
      </c>
      <c r="C18" s="322"/>
      <c r="D18" s="322"/>
      <c r="E18" s="322"/>
      <c r="F18" s="322"/>
    </row>
    <row r="19" spans="1:6">
      <c r="A19" s="1248" t="s">
        <v>9</v>
      </c>
      <c r="B19" s="1249">
        <v>338</v>
      </c>
      <c r="C19" s="322"/>
      <c r="D19" s="322"/>
      <c r="E19" s="322"/>
      <c r="F19" s="322"/>
    </row>
    <row r="20" spans="1:6">
      <c r="A20" s="1248" t="s">
        <v>10</v>
      </c>
      <c r="B20" s="1249">
        <v>228</v>
      </c>
      <c r="C20" s="322"/>
      <c r="D20" s="322"/>
      <c r="E20" s="322"/>
      <c r="F20" s="322"/>
    </row>
    <row r="21" spans="1:6">
      <c r="A21" s="1248" t="s">
        <v>11</v>
      </c>
      <c r="B21" s="1249">
        <v>0</v>
      </c>
      <c r="C21" s="322"/>
      <c r="D21" s="322"/>
      <c r="E21" s="322"/>
      <c r="F21" s="322"/>
    </row>
    <row r="22" spans="1:6">
      <c r="A22" s="1248" t="s">
        <v>12</v>
      </c>
      <c r="B22" s="1249">
        <v>2</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1</v>
      </c>
      <c r="C25" s="322"/>
      <c r="D25" s="322"/>
      <c r="E25" s="322"/>
      <c r="F25" s="322"/>
    </row>
    <row r="26" spans="1:6">
      <c r="A26" s="1248" t="s">
        <v>16</v>
      </c>
      <c r="B26" s="1249">
        <v>1042</v>
      </c>
      <c r="C26" s="322"/>
      <c r="D26" s="322"/>
      <c r="E26" s="322"/>
      <c r="F26" s="322"/>
    </row>
    <row r="27" spans="1:6">
      <c r="A27" s="1248" t="s">
        <v>17</v>
      </c>
      <c r="B27" s="1249">
        <v>22</v>
      </c>
      <c r="C27" s="322"/>
      <c r="D27" s="322"/>
      <c r="E27" s="322"/>
      <c r="F27" s="322"/>
    </row>
    <row r="28" spans="1:6">
      <c r="A28" s="1248" t="s">
        <v>18</v>
      </c>
      <c r="B28" s="1250">
        <v>71</v>
      </c>
      <c r="C28" s="322"/>
      <c r="D28" s="322"/>
      <c r="E28" s="322"/>
      <c r="F28" s="322"/>
    </row>
    <row r="29" spans="1:6">
      <c r="A29" s="1248" t="s">
        <v>884</v>
      </c>
      <c r="B29" s="1250">
        <v>178</v>
      </c>
      <c r="C29" s="322"/>
      <c r="D29" s="322"/>
      <c r="E29" s="322"/>
      <c r="F29" s="322"/>
    </row>
    <row r="30" spans="1:6">
      <c r="A30" s="1243" t="s">
        <v>885</v>
      </c>
      <c r="B30" s="1251">
        <v>41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3</v>
      </c>
      <c r="D35" s="1249">
        <v>954394</v>
      </c>
      <c r="E35" s="1249">
        <v>15</v>
      </c>
      <c r="F35" s="1249">
        <v>788371</v>
      </c>
    </row>
    <row r="36" spans="1:6">
      <c r="A36" s="1248" t="s">
        <v>24</v>
      </c>
      <c r="B36" s="1248" t="s">
        <v>26</v>
      </c>
      <c r="C36" s="1249">
        <v>71</v>
      </c>
      <c r="D36" s="1249">
        <v>19432899.495000001</v>
      </c>
      <c r="E36" s="1249">
        <v>161</v>
      </c>
      <c r="F36" s="1249">
        <v>10109360.182500001</v>
      </c>
    </row>
    <row r="37" spans="1:6">
      <c r="A37" s="1248" t="s">
        <v>24</v>
      </c>
      <c r="B37" s="1248" t="s">
        <v>27</v>
      </c>
      <c r="C37" s="1249">
        <v>0</v>
      </c>
      <c r="D37" s="1249">
        <v>0</v>
      </c>
      <c r="E37" s="1249">
        <v>10</v>
      </c>
      <c r="F37" s="1249">
        <v>20756996</v>
      </c>
    </row>
    <row r="38" spans="1:6">
      <c r="A38" s="1248" t="s">
        <v>24</v>
      </c>
      <c r="B38" s="1248" t="s">
        <v>28</v>
      </c>
      <c r="C38" s="1249">
        <v>27</v>
      </c>
      <c r="D38" s="1249">
        <v>187565619.49000001</v>
      </c>
      <c r="E38" s="1249">
        <v>34</v>
      </c>
      <c r="F38" s="1249">
        <v>726267.70976</v>
      </c>
    </row>
    <row r="39" spans="1:6">
      <c r="A39" s="1248" t="s">
        <v>29</v>
      </c>
      <c r="B39" s="1248" t="s">
        <v>30</v>
      </c>
      <c r="C39" s="1249">
        <v>179452</v>
      </c>
      <c r="D39" s="1249">
        <v>2236320477.6999998</v>
      </c>
      <c r="E39" s="1249">
        <v>235434</v>
      </c>
      <c r="F39" s="1249">
        <v>638642558.81520998</v>
      </c>
    </row>
    <row r="40" spans="1:6">
      <c r="A40" s="1248" t="s">
        <v>29</v>
      </c>
      <c r="B40" s="1248" t="s">
        <v>28</v>
      </c>
      <c r="C40" s="1249">
        <v>7</v>
      </c>
      <c r="D40" s="1249">
        <v>620811.74714999995</v>
      </c>
      <c r="E40" s="1249">
        <v>4</v>
      </c>
      <c r="F40" s="1249">
        <v>84833.245899999994</v>
      </c>
    </row>
    <row r="41" spans="1:6">
      <c r="A41" s="1248" t="s">
        <v>31</v>
      </c>
      <c r="B41" s="1248" t="s">
        <v>32</v>
      </c>
      <c r="C41" s="1249">
        <v>1713</v>
      </c>
      <c r="D41" s="1249">
        <v>38170776.222999997</v>
      </c>
      <c r="E41" s="1249">
        <v>3229</v>
      </c>
      <c r="F41" s="1249">
        <v>42895382.869000003</v>
      </c>
    </row>
    <row r="42" spans="1:6">
      <c r="A42" s="1248" t="s">
        <v>31</v>
      </c>
      <c r="B42" s="1248" t="s">
        <v>33</v>
      </c>
      <c r="C42" s="1249">
        <v>7</v>
      </c>
      <c r="D42" s="1249">
        <v>495939.29639999999</v>
      </c>
      <c r="E42" s="1249">
        <v>27</v>
      </c>
      <c r="F42" s="1249">
        <v>870713.61673999997</v>
      </c>
    </row>
    <row r="43" spans="1:6">
      <c r="A43" s="1248" t="s">
        <v>31</v>
      </c>
      <c r="B43" s="1248" t="s">
        <v>34</v>
      </c>
      <c r="C43" s="1249">
        <v>0</v>
      </c>
      <c r="D43" s="1249">
        <v>0</v>
      </c>
      <c r="E43" s="1249">
        <v>0</v>
      </c>
      <c r="F43" s="1249">
        <v>0</v>
      </c>
    </row>
    <row r="44" spans="1:6">
      <c r="A44" s="1248" t="s">
        <v>31</v>
      </c>
      <c r="B44" s="1248" t="s">
        <v>35</v>
      </c>
      <c r="C44" s="1249">
        <v>89</v>
      </c>
      <c r="D44" s="1249">
        <v>4335876.5926999999</v>
      </c>
      <c r="E44" s="1249">
        <v>470</v>
      </c>
      <c r="F44" s="1249">
        <v>108328081.83500001</v>
      </c>
    </row>
    <row r="45" spans="1:6">
      <c r="A45" s="1248" t="s">
        <v>31</v>
      </c>
      <c r="B45" s="1248" t="s">
        <v>36</v>
      </c>
      <c r="C45" s="1249">
        <v>0</v>
      </c>
      <c r="D45" s="1249">
        <v>0</v>
      </c>
      <c r="E45" s="1249">
        <v>26</v>
      </c>
      <c r="F45" s="1249">
        <v>9573960.4510600008</v>
      </c>
    </row>
    <row r="46" spans="1:6">
      <c r="A46" s="1248" t="s">
        <v>31</v>
      </c>
      <c r="B46" s="1248" t="s">
        <v>37</v>
      </c>
      <c r="C46" s="1249">
        <v>0</v>
      </c>
      <c r="D46" s="1249">
        <v>0</v>
      </c>
      <c r="E46" s="1249">
        <v>3</v>
      </c>
      <c r="F46" s="1249">
        <v>672435</v>
      </c>
    </row>
    <row r="47" spans="1:6">
      <c r="A47" s="1248" t="s">
        <v>31</v>
      </c>
      <c r="B47" s="1248" t="s">
        <v>38</v>
      </c>
      <c r="C47" s="1249">
        <v>66</v>
      </c>
      <c r="D47" s="1249">
        <v>2188511.3243</v>
      </c>
      <c r="E47" s="1249">
        <v>97</v>
      </c>
      <c r="F47" s="1249">
        <v>4475699.2204</v>
      </c>
    </row>
    <row r="48" spans="1:6">
      <c r="A48" s="1248" t="s">
        <v>31</v>
      </c>
      <c r="B48" s="1248" t="s">
        <v>28</v>
      </c>
      <c r="C48" s="1249">
        <v>386</v>
      </c>
      <c r="D48" s="1249">
        <v>269526410.12</v>
      </c>
      <c r="E48" s="1249">
        <v>422</v>
      </c>
      <c r="F48" s="1249">
        <v>63893726.954999998</v>
      </c>
    </row>
    <row r="49" spans="1:6">
      <c r="A49" s="1248" t="s">
        <v>31</v>
      </c>
      <c r="B49" s="1248" t="s">
        <v>39</v>
      </c>
      <c r="C49" s="1249">
        <v>30</v>
      </c>
      <c r="D49" s="1249">
        <v>1085040.6683700001</v>
      </c>
      <c r="E49" s="1249">
        <v>79</v>
      </c>
      <c r="F49" s="1249">
        <v>1772659.5244</v>
      </c>
    </row>
    <row r="50" spans="1:6">
      <c r="A50" s="1248" t="s">
        <v>31</v>
      </c>
      <c r="B50" s="1248" t="s">
        <v>40</v>
      </c>
      <c r="C50" s="1249">
        <v>225</v>
      </c>
      <c r="D50" s="1249">
        <v>23596902.465999998</v>
      </c>
      <c r="E50" s="1249">
        <v>327</v>
      </c>
      <c r="F50" s="1249">
        <v>68209865.137999997</v>
      </c>
    </row>
    <row r="51" spans="1:6">
      <c r="A51" s="1248" t="s">
        <v>41</v>
      </c>
      <c r="B51" s="1248" t="s">
        <v>42</v>
      </c>
      <c r="C51" s="1249">
        <v>75</v>
      </c>
      <c r="D51" s="1249">
        <v>22048038.730999999</v>
      </c>
      <c r="E51" s="1249">
        <v>142</v>
      </c>
      <c r="F51" s="1249">
        <v>23200589.230999999</v>
      </c>
    </row>
    <row r="52" spans="1:6">
      <c r="A52" s="1248" t="s">
        <v>41</v>
      </c>
      <c r="B52" s="1248" t="s">
        <v>28</v>
      </c>
      <c r="C52" s="1249">
        <v>28</v>
      </c>
      <c r="D52" s="1249">
        <v>618257.07113000005</v>
      </c>
      <c r="E52" s="1249">
        <v>47</v>
      </c>
      <c r="F52" s="1249">
        <v>392822.59444000002</v>
      </c>
    </row>
    <row r="53" spans="1:6">
      <c r="A53" s="1248" t="s">
        <v>43</v>
      </c>
      <c r="B53" s="1248" t="s">
        <v>44</v>
      </c>
      <c r="C53" s="1249">
        <v>6602</v>
      </c>
      <c r="D53" s="1249">
        <v>140987039.30000001</v>
      </c>
      <c r="E53" s="1249">
        <v>12597</v>
      </c>
      <c r="F53" s="1249">
        <v>42025237.030000001</v>
      </c>
    </row>
    <row r="54" spans="1:6">
      <c r="A54" s="1248" t="s">
        <v>45</v>
      </c>
      <c r="B54" s="1248" t="s">
        <v>46</v>
      </c>
      <c r="C54" s="1249">
        <v>0</v>
      </c>
      <c r="D54" s="1249">
        <v>0</v>
      </c>
      <c r="E54" s="1249">
        <v>72</v>
      </c>
      <c r="F54" s="1249">
        <v>29030080</v>
      </c>
    </row>
    <row r="55" spans="1:6">
      <c r="A55" s="1248" t="s">
        <v>45</v>
      </c>
      <c r="B55" s="1248" t="s">
        <v>28</v>
      </c>
      <c r="C55" s="1249">
        <v>0</v>
      </c>
      <c r="D55" s="1249">
        <v>0</v>
      </c>
      <c r="E55" s="1249">
        <v>0</v>
      </c>
      <c r="F55" s="1249">
        <v>0</v>
      </c>
    </row>
    <row r="56" spans="1:6">
      <c r="A56" s="1248" t="s">
        <v>47</v>
      </c>
      <c r="B56" s="1248" t="s">
        <v>28</v>
      </c>
      <c r="C56" s="1249">
        <v>369</v>
      </c>
      <c r="D56" s="1249">
        <v>8672878</v>
      </c>
      <c r="E56" s="1249">
        <v>615</v>
      </c>
      <c r="F56" s="1249">
        <v>3063863</v>
      </c>
    </row>
    <row r="57" spans="1:6">
      <c r="A57" s="1248" t="s">
        <v>48</v>
      </c>
      <c r="B57" s="1248" t="s">
        <v>49</v>
      </c>
      <c r="C57" s="1249">
        <v>1645</v>
      </c>
      <c r="D57" s="1249">
        <v>91126712.539000005</v>
      </c>
      <c r="E57" s="1249">
        <v>2564</v>
      </c>
      <c r="F57" s="1249">
        <v>70228149.211999997</v>
      </c>
    </row>
    <row r="58" spans="1:6">
      <c r="A58" s="1248" t="s">
        <v>48</v>
      </c>
      <c r="B58" s="1248" t="s">
        <v>50</v>
      </c>
      <c r="C58" s="1249">
        <v>1003</v>
      </c>
      <c r="D58" s="1249">
        <v>116732537.12</v>
      </c>
      <c r="E58" s="1249">
        <v>1456</v>
      </c>
      <c r="F58" s="1249">
        <v>56468940.535999998</v>
      </c>
    </row>
    <row r="59" spans="1:6">
      <c r="A59" s="1248" t="s">
        <v>48</v>
      </c>
      <c r="B59" s="1248" t="s">
        <v>51</v>
      </c>
      <c r="C59" s="1249">
        <v>3834</v>
      </c>
      <c r="D59" s="1249">
        <v>164001187.78999999</v>
      </c>
      <c r="E59" s="1249">
        <v>7800</v>
      </c>
      <c r="F59" s="1249">
        <v>235017412.24000001</v>
      </c>
    </row>
    <row r="60" spans="1:6">
      <c r="A60" s="1248" t="s">
        <v>48</v>
      </c>
      <c r="B60" s="1248" t="s">
        <v>52</v>
      </c>
      <c r="C60" s="1249">
        <v>2471</v>
      </c>
      <c r="D60" s="1249">
        <v>126819053.52</v>
      </c>
      <c r="E60" s="1249">
        <v>3117</v>
      </c>
      <c r="F60" s="1249">
        <v>94976178.856999993</v>
      </c>
    </row>
    <row r="61" spans="1:6">
      <c r="A61" s="1248" t="s">
        <v>48</v>
      </c>
      <c r="B61" s="1248" t="s">
        <v>53</v>
      </c>
      <c r="C61" s="1249">
        <v>9197</v>
      </c>
      <c r="D61" s="1249">
        <v>820216665.76999998</v>
      </c>
      <c r="E61" s="1249">
        <v>20119</v>
      </c>
      <c r="F61" s="1249">
        <v>566658265.06999993</v>
      </c>
    </row>
    <row r="62" spans="1:6">
      <c r="A62" s="1248" t="s">
        <v>48</v>
      </c>
      <c r="B62" s="1248" t="s">
        <v>54</v>
      </c>
      <c r="C62" s="1249">
        <v>818</v>
      </c>
      <c r="D62" s="1249">
        <v>188415079.55000001</v>
      </c>
      <c r="E62" s="1249">
        <v>911</v>
      </c>
      <c r="F62" s="1249">
        <v>56563398.225000001</v>
      </c>
    </row>
    <row r="63" spans="1:6">
      <c r="A63" s="1248" t="s">
        <v>48</v>
      </c>
      <c r="B63" s="1248" t="s">
        <v>28</v>
      </c>
      <c r="C63" s="1249">
        <v>1120</v>
      </c>
      <c r="D63" s="1249">
        <v>177476608.06</v>
      </c>
      <c r="E63" s="1249">
        <v>1103</v>
      </c>
      <c r="F63" s="1249">
        <v>76468152.068000004</v>
      </c>
    </row>
    <row r="64" spans="1:6">
      <c r="A64" s="1248" t="s">
        <v>55</v>
      </c>
      <c r="B64" s="1248" t="s">
        <v>56</v>
      </c>
      <c r="C64" s="1249">
        <v>0</v>
      </c>
      <c r="D64" s="1249">
        <v>0</v>
      </c>
      <c r="E64" s="1249">
        <v>0</v>
      </c>
      <c r="F64" s="1249">
        <v>0</v>
      </c>
    </row>
    <row r="65" spans="1:6">
      <c r="A65" s="1248" t="s">
        <v>55</v>
      </c>
      <c r="B65" s="1248" t="s">
        <v>28</v>
      </c>
      <c r="C65" s="1249">
        <v>62</v>
      </c>
      <c r="D65" s="1249">
        <v>17330643.645</v>
      </c>
      <c r="E65" s="1249">
        <v>44</v>
      </c>
      <c r="F65" s="1249">
        <v>518483.37085000001</v>
      </c>
    </row>
    <row r="66" spans="1:6">
      <c r="A66" s="1248" t="s">
        <v>55</v>
      </c>
      <c r="B66" s="1248" t="s">
        <v>57</v>
      </c>
      <c r="C66" s="1249">
        <v>16</v>
      </c>
      <c r="D66" s="1249">
        <v>1530613.4072</v>
      </c>
      <c r="E66" s="1249">
        <v>274</v>
      </c>
      <c r="F66" s="1249">
        <v>18298995.510000002</v>
      </c>
    </row>
    <row r="67" spans="1:6">
      <c r="A67" s="1248" t="s">
        <v>55</v>
      </c>
      <c r="B67" s="1248" t="s">
        <v>58</v>
      </c>
      <c r="C67" s="1249">
        <v>0</v>
      </c>
      <c r="D67" s="1249">
        <v>0</v>
      </c>
      <c r="E67" s="1249">
        <v>8</v>
      </c>
      <c r="F67" s="1249">
        <v>2920539</v>
      </c>
    </row>
    <row r="68" spans="1:6">
      <c r="A68" s="1243" t="s">
        <v>55</v>
      </c>
      <c r="B68" s="1243" t="s">
        <v>59</v>
      </c>
      <c r="C68" s="1251">
        <v>57</v>
      </c>
      <c r="D68" s="1251">
        <v>11752247.834000001</v>
      </c>
      <c r="E68" s="1251">
        <v>261</v>
      </c>
      <c r="F68" s="1251">
        <v>77058784.856999993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863747133</v>
      </c>
      <c r="E73" s="439"/>
      <c r="F73" s="322"/>
    </row>
    <row r="74" spans="1:6">
      <c r="A74" s="1248" t="s">
        <v>63</v>
      </c>
      <c r="B74" s="1248" t="s">
        <v>626</v>
      </c>
      <c r="C74" s="1261" t="s">
        <v>628</v>
      </c>
      <c r="D74" s="1249">
        <v>50786109.684349798</v>
      </c>
      <c r="E74" s="439"/>
      <c r="F74" s="322"/>
    </row>
    <row r="75" spans="1:6">
      <c r="A75" s="1248" t="s">
        <v>64</v>
      </c>
      <c r="B75" s="1248" t="s">
        <v>625</v>
      </c>
      <c r="C75" s="1261" t="s">
        <v>629</v>
      </c>
      <c r="D75" s="1249">
        <v>387345724</v>
      </c>
      <c r="E75" s="439"/>
      <c r="F75" s="322"/>
    </row>
    <row r="76" spans="1:6">
      <c r="A76" s="1248" t="s">
        <v>64</v>
      </c>
      <c r="B76" s="1248" t="s">
        <v>626</v>
      </c>
      <c r="C76" s="1261" t="s">
        <v>630</v>
      </c>
      <c r="D76" s="1249">
        <v>12187731.684349794</v>
      </c>
      <c r="E76" s="439"/>
      <c r="F76" s="322"/>
    </row>
    <row r="77" spans="1:6">
      <c r="A77" s="1248" t="s">
        <v>65</v>
      </c>
      <c r="B77" s="1248" t="s">
        <v>625</v>
      </c>
      <c r="C77" s="1261" t="s">
        <v>631</v>
      </c>
      <c r="D77" s="1249">
        <v>1651722107</v>
      </c>
      <c r="E77" s="439"/>
      <c r="F77" s="322"/>
    </row>
    <row r="78" spans="1:6">
      <c r="A78" s="1243" t="s">
        <v>65</v>
      </c>
      <c r="B78" s="1243" t="s">
        <v>626</v>
      </c>
      <c r="C78" s="1243" t="s">
        <v>632</v>
      </c>
      <c r="D78" s="1251">
        <v>320614814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13432540.63130041</v>
      </c>
      <c r="C83" s="439"/>
      <c r="D83" s="322"/>
      <c r="E83" s="322"/>
      <c r="F83" s="322"/>
    </row>
    <row r="84" spans="1:6">
      <c r="A84" s="1243" t="s">
        <v>324</v>
      </c>
      <c r="B84" s="1251">
        <v>9684942.1892275959</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66056.230998585961</v>
      </c>
      <c r="C90" s="322"/>
      <c r="D90" s="322"/>
      <c r="E90" s="322"/>
      <c r="F90" s="322"/>
    </row>
    <row r="91" spans="1:6">
      <c r="A91" s="1248" t="s">
        <v>67</v>
      </c>
      <c r="B91" s="1249">
        <v>14176.62622573312</v>
      </c>
      <c r="C91" s="322"/>
      <c r="D91" s="322"/>
      <c r="E91" s="322"/>
      <c r="F91" s="322"/>
    </row>
    <row r="92" spans="1:6">
      <c r="A92" s="1243" t="s">
        <v>68</v>
      </c>
      <c r="B92" s="1244">
        <v>47168.399035605245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142544</v>
      </c>
      <c r="C97" s="322"/>
      <c r="D97" s="322"/>
      <c r="E97" s="322"/>
      <c r="F97" s="322"/>
    </row>
    <row r="98" spans="1:6">
      <c r="A98" s="1248" t="s">
        <v>71</v>
      </c>
      <c r="B98" s="1249">
        <v>436</v>
      </c>
      <c r="C98" s="322"/>
      <c r="D98" s="322"/>
      <c r="E98" s="322"/>
      <c r="F98" s="322"/>
    </row>
    <row r="99" spans="1:6">
      <c r="A99" s="1248" t="s">
        <v>72</v>
      </c>
      <c r="B99" s="1249">
        <v>504</v>
      </c>
      <c r="C99" s="322"/>
      <c r="D99" s="322"/>
      <c r="E99" s="322"/>
      <c r="F99" s="322"/>
    </row>
    <row r="100" spans="1:6">
      <c r="A100" s="1248" t="s">
        <v>73</v>
      </c>
      <c r="B100" s="1249">
        <v>12353</v>
      </c>
      <c r="C100" s="322"/>
      <c r="D100" s="322"/>
      <c r="E100" s="322"/>
      <c r="F100" s="322"/>
    </row>
    <row r="101" spans="1:6">
      <c r="A101" s="1248" t="s">
        <v>74</v>
      </c>
      <c r="B101" s="1249">
        <v>483</v>
      </c>
      <c r="C101" s="322"/>
      <c r="D101" s="322"/>
      <c r="E101" s="322"/>
      <c r="F101" s="322"/>
    </row>
    <row r="102" spans="1:6">
      <c r="A102" s="1248" t="s">
        <v>75</v>
      </c>
      <c r="B102" s="1249">
        <v>6918</v>
      </c>
      <c r="C102" s="322"/>
      <c r="D102" s="322"/>
      <c r="E102" s="322"/>
      <c r="F102" s="322"/>
    </row>
    <row r="103" spans="1:6">
      <c r="A103" s="1248" t="s">
        <v>76</v>
      </c>
      <c r="B103" s="1249">
        <v>1961</v>
      </c>
      <c r="C103" s="322"/>
      <c r="D103" s="322"/>
      <c r="E103" s="322"/>
      <c r="F103" s="322"/>
    </row>
    <row r="104" spans="1:6">
      <c r="A104" s="1248" t="s">
        <v>77</v>
      </c>
      <c r="B104" s="1249">
        <v>38687</v>
      </c>
      <c r="C104" s="322"/>
      <c r="D104" s="322"/>
      <c r="E104" s="322"/>
      <c r="F104" s="322"/>
    </row>
    <row r="105" spans="1:6">
      <c r="A105" s="1243" t="s">
        <v>78</v>
      </c>
      <c r="B105" s="1251">
        <v>225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2</v>
      </c>
      <c r="C121" s="1249">
        <v>0</v>
      </c>
      <c r="D121" s="322"/>
      <c r="E121" s="322"/>
      <c r="F121" s="322"/>
    </row>
    <row r="122" spans="1:6">
      <c r="A122" s="1248" t="s">
        <v>86</v>
      </c>
      <c r="B122" s="1249">
        <v>0</v>
      </c>
      <c r="C122" s="1249">
        <v>0</v>
      </c>
      <c r="D122" s="322"/>
      <c r="E122" s="322"/>
      <c r="F122" s="322"/>
    </row>
    <row r="123" spans="1:6">
      <c r="A123" s="1248" t="s">
        <v>87</v>
      </c>
      <c r="B123" s="1249">
        <v>19</v>
      </c>
      <c r="C123" s="1249">
        <v>67</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664</v>
      </c>
      <c r="C129" s="322"/>
      <c r="D129" s="322"/>
      <c r="E129" s="322"/>
      <c r="F129" s="322"/>
    </row>
    <row r="130" spans="1:6">
      <c r="A130" s="1248" t="s">
        <v>284</v>
      </c>
      <c r="B130" s="1249">
        <v>14</v>
      </c>
      <c r="C130" s="322"/>
      <c r="D130" s="322"/>
      <c r="E130" s="322"/>
      <c r="F130" s="322"/>
    </row>
    <row r="131" spans="1:6">
      <c r="A131" s="1248" t="s">
        <v>285</v>
      </c>
      <c r="B131" s="1249">
        <v>42</v>
      </c>
      <c r="C131" s="322"/>
      <c r="D131" s="322"/>
      <c r="E131" s="322"/>
      <c r="F131" s="322"/>
    </row>
    <row r="132" spans="1:6">
      <c r="A132" s="1243" t="s">
        <v>286</v>
      </c>
      <c r="B132" s="1244">
        <v>50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2273498.4886422451</v>
      </c>
      <c r="C3" s="43" t="s">
        <v>163</v>
      </c>
      <c r="D3" s="43"/>
      <c r="E3" s="153"/>
      <c r="F3" s="43"/>
      <c r="G3" s="43"/>
      <c r="H3" s="43"/>
      <c r="I3" s="43"/>
      <c r="J3" s="43"/>
      <c r="K3" s="96"/>
    </row>
    <row r="4" spans="1:11">
      <c r="A4" s="348" t="s">
        <v>164</v>
      </c>
      <c r="B4" s="49">
        <f>IF(ISERROR('SEAP template'!B78+'SEAP template'!C78),0,'SEAP template'!B78+'SEAP template'!C78)</f>
        <v>158015.46459325767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2577.4413195558218</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0.20677347796044929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3682.059677870177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15493.871782496783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0.23764619518987823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29030.080000000002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29030.080000000002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0.20677347796044929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6002.6506070700798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638727.39206111</v>
      </c>
      <c r="C5" s="17">
        <f>IF(ISERROR('Eigen informatie GS &amp; warmtenet'!B57),0,'Eigen informatie GS &amp; warmtenet'!B57)</f>
        <v>0</v>
      </c>
      <c r="D5" s="30">
        <f>(SUM(HH_hh_gas_kWh,HH_rest_gas_kWh)/1000)*0.902</f>
        <v>2017721.0430813292</v>
      </c>
      <c r="E5" s="17">
        <f>B32*B41</f>
        <v>33974.749739213526</v>
      </c>
      <c r="F5" s="17">
        <f>B36*B45</f>
        <v>923706.19675301155</v>
      </c>
      <c r="G5" s="18"/>
      <c r="H5" s="17"/>
      <c r="I5" s="17"/>
      <c r="J5" s="17">
        <f>B35*B44+C35*C44</f>
        <v>17034.792122602503</v>
      </c>
      <c r="K5" s="17"/>
      <c r="L5" s="17"/>
      <c r="M5" s="17"/>
      <c r="N5" s="17">
        <f>B34*B43+C34*C43</f>
        <v>295596.04853913235</v>
      </c>
      <c r="O5" s="17">
        <f>B52*B53*B54</f>
        <v>1142.7966666666669</v>
      </c>
      <c r="P5" s="17">
        <f>B60*B61*B62/1000-B60*B61*B62/1000/B63</f>
        <v>1315.6</v>
      </c>
    </row>
    <row r="6" spans="1:16">
      <c r="A6" s="16" t="s">
        <v>586</v>
      </c>
      <c r="B6" s="716">
        <f>kWh_PV_kleiner_dan_10kW</f>
        <v>14176.62622573312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652904.01828684309</v>
      </c>
      <c r="C8" s="21">
        <f>C5</f>
        <v>0</v>
      </c>
      <c r="D8" s="21">
        <f>D5</f>
        <v>2017721.0430813292</v>
      </c>
      <c r="E8" s="21">
        <f>E5</f>
        <v>33974.749739213526</v>
      </c>
      <c r="F8" s="21">
        <f>F5</f>
        <v>923706.19675301155</v>
      </c>
      <c r="G8" s="21"/>
      <c r="H8" s="21"/>
      <c r="I8" s="21"/>
      <c r="J8" s="21">
        <f>J5</f>
        <v>17034.792122602503</v>
      </c>
      <c r="K8" s="21"/>
      <c r="L8" s="21">
        <f>L5</f>
        <v>0</v>
      </c>
      <c r="M8" s="21">
        <f>M5</f>
        <v>0</v>
      </c>
      <c r="N8" s="21">
        <f>N5</f>
        <v>295596.04853913235</v>
      </c>
      <c r="O8" s="21">
        <f>O5</f>
        <v>1142.7966666666669</v>
      </c>
      <c r="P8" s="21">
        <f>P5</f>
        <v>1315.6</v>
      </c>
    </row>
    <row r="9" spans="1:16">
      <c r="B9" s="19"/>
      <c r="C9" s="19"/>
      <c r="D9" s="253"/>
      <c r="E9" s="19"/>
      <c r="F9" s="19"/>
      <c r="G9" s="19"/>
      <c r="H9" s="19"/>
      <c r="I9" s="19"/>
      <c r="J9" s="19"/>
      <c r="K9" s="19"/>
      <c r="L9" s="19"/>
      <c r="M9" s="19"/>
      <c r="N9" s="19"/>
      <c r="O9" s="19"/>
      <c r="P9" s="19"/>
    </row>
    <row r="10" spans="1:16">
      <c r="A10" s="24" t="s">
        <v>207</v>
      </c>
      <c r="B10" s="25">
        <f ca="1">'EF ele_warmte'!B12</f>
        <v>0.20677347796044929</v>
      </c>
      <c r="C10" s="25">
        <f ca="1">'EF ele_warmte'!B22</f>
        <v>0.23764619518987823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135003.23463552332</v>
      </c>
      <c r="C12" s="23">
        <f ca="1">C10*C8</f>
        <v>0</v>
      </c>
      <c r="D12" s="23">
        <f>D8*D10</f>
        <v>407579.65070242854</v>
      </c>
      <c r="E12" s="23">
        <f>E10*E8</f>
        <v>7712.2681908014711</v>
      </c>
      <c r="F12" s="23">
        <f>F10*F8</f>
        <v>246629.55453305409</v>
      </c>
      <c r="G12" s="23"/>
      <c r="H12" s="23"/>
      <c r="I12" s="23"/>
      <c r="J12" s="23">
        <f>J10*J8</f>
        <v>6030.3164114012852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235065</v>
      </c>
      <c r="C26" s="36"/>
      <c r="D26" s="224"/>
    </row>
    <row r="27" spans="1:5" s="15" customFormat="1">
      <c r="A27" s="226" t="s">
        <v>655</v>
      </c>
      <c r="B27" s="37">
        <f>SUM(HH_hh_gas_aantal,HH_rest_gas_aantal)</f>
        <v>179459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170486.05</v>
      </c>
      <c r="C31" s="34" t="s">
        <v>104</v>
      </c>
      <c r="D31" s="170"/>
    </row>
    <row r="32" spans="1:5">
      <c r="A32" s="167" t="s">
        <v>72</v>
      </c>
      <c r="B32" s="33">
        <f>IF((B21*($B$26-($B$27-0.05*$B$27)-$B$60))&lt;0,0,B21*($B$26-($B$27-0.05*$B$27)-$B$60))</f>
        <v>416.31024220909586</v>
      </c>
      <c r="C32" s="34" t="s">
        <v>104</v>
      </c>
      <c r="D32" s="170"/>
    </row>
    <row r="33" spans="1:6">
      <c r="A33" s="167" t="s">
        <v>73</v>
      </c>
      <c r="B33" s="33">
        <f>IF((B22*($B$26-($B$27-0.05*$B$27)-$B$60))&lt;0,0,B22*($B$26-($B$27-0.05*$B$27)-$B$60))</f>
        <v>14497.434969974403</v>
      </c>
      <c r="C33" s="34" t="s">
        <v>104</v>
      </c>
      <c r="D33" s="170"/>
    </row>
    <row r="34" spans="1:6">
      <c r="A34" s="167" t="s">
        <v>74</v>
      </c>
      <c r="B34" s="33">
        <f>IF((B24*($B$26-($B$27-0.05*$B$27)-$B$60))&lt;0,0,B24*($B$26-($B$27-0.05*$B$27)-$B$60))</f>
        <v>2878.8935089755078</v>
      </c>
      <c r="C34" s="33">
        <f>B26*C24</f>
        <v>48108.953045812283</v>
      </c>
      <c r="D34" s="229"/>
    </row>
    <row r="35" spans="1:6">
      <c r="A35" s="167" t="s">
        <v>76</v>
      </c>
      <c r="B35" s="33">
        <f>IF((B19*($B$26-($B$27-0.05*$B$27)-$B$60))&lt;0,0,B19*($B$26-($B$27-0.05*$B$27)-$B$60))</f>
        <v>1405.9087231250976</v>
      </c>
      <c r="C35" s="33">
        <f>B35/2</f>
        <v>702.9543615625488</v>
      </c>
      <c r="D35" s="229"/>
    </row>
    <row r="36" spans="1:6">
      <c r="A36" s="167" t="s">
        <v>77</v>
      </c>
      <c r="B36" s="33">
        <f>IF((B18*($B$26-($B$27-0.05*$B$27)-$B$60))&lt;0,0,B18*($B$26-($B$27-0.05*$B$27)-$B$60))</f>
        <v>45311.402555715926</v>
      </c>
      <c r="C36" s="34" t="s">
        <v>104</v>
      </c>
      <c r="D36" s="170"/>
    </row>
    <row r="37" spans="1:6">
      <c r="A37" s="167" t="s">
        <v>78</v>
      </c>
      <c r="B37" s="33">
        <f>B60</f>
        <v>69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731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1156380.4962079998</v>
      </c>
      <c r="C5" s="17">
        <f>IF(ISERROR('Eigen informatie GS &amp; warmtenet'!B58),0,'Eigen informatie GS &amp; warmtenet'!B58)</f>
        <v>0</v>
      </c>
      <c r="D5" s="30">
        <f>SUM(D6:D12)</f>
        <v>1519678.6356027983</v>
      </c>
      <c r="E5" s="17">
        <f>SUM(E6:E12)</f>
        <v>11593.965755274023</v>
      </c>
      <c r="F5" s="17">
        <f>SUM(F6:F12)</f>
        <v>208981.46928615373</v>
      </c>
      <c r="G5" s="18"/>
      <c r="H5" s="17"/>
      <c r="I5" s="17"/>
      <c r="J5" s="17">
        <f>SUM(J6:J12)</f>
        <v>1.0181707072503587</v>
      </c>
      <c r="K5" s="17"/>
      <c r="L5" s="17"/>
      <c r="M5" s="17"/>
      <c r="N5" s="17">
        <f>SUM(N6:N12)</f>
        <v>37311.11530832923</v>
      </c>
      <c r="O5" s="17">
        <f>B38*B39*B40</f>
        <v>21.88666666666667</v>
      </c>
      <c r="P5" s="17">
        <f>B46*B47*B48/1000-B46*B47*B48/1000/B49</f>
        <v>838.93333333333339</v>
      </c>
      <c r="R5" s="32"/>
    </row>
    <row r="6" spans="1:18">
      <c r="A6" s="32" t="s">
        <v>53</v>
      </c>
      <c r="B6" s="37">
        <f>B26</f>
        <v>566658.26506999996</v>
      </c>
      <c r="C6" s="33"/>
      <c r="D6" s="37">
        <f>IF(ISERROR(TER_kantoor_gas_kWh/1000),0,TER_kantoor_gas_kWh/1000)*0.902</f>
        <v>739835.43252454</v>
      </c>
      <c r="E6" s="33">
        <f>$C$26*'E Balans VL '!I12/100/3.6*1000000</f>
        <v>3.2260794901892831E-16</v>
      </c>
      <c r="F6" s="33">
        <f>$C$26*('E Balans VL '!L12+'E Balans VL '!N12)/100/3.6*1000000</f>
        <v>76602.860506670186</v>
      </c>
      <c r="G6" s="34"/>
      <c r="H6" s="33"/>
      <c r="I6" s="33"/>
      <c r="J6" s="33">
        <f>$C$26*('E Balans VL '!D12+'E Balans VL '!E12)/100/3.6*1000000</f>
        <v>0</v>
      </c>
      <c r="K6" s="33"/>
      <c r="L6" s="33"/>
      <c r="M6" s="33"/>
      <c r="N6" s="33">
        <f>$C$26*'E Balans VL '!Y12/100/3.6*1000000</f>
        <v>712.17429925416616</v>
      </c>
      <c r="O6" s="33"/>
      <c r="P6" s="33"/>
      <c r="R6" s="32"/>
    </row>
    <row r="7" spans="1:18">
      <c r="A7" s="32" t="s">
        <v>52</v>
      </c>
      <c r="B7" s="37">
        <f t="shared" ref="B7:B12" si="0">B27</f>
        <v>94976.178856999992</v>
      </c>
      <c r="C7" s="33"/>
      <c r="D7" s="37">
        <f>IF(ISERROR(TER_horeca_gas_kWh/1000),0,TER_horeca_gas_kWh/1000)*0.902</f>
        <v>114390.78627504001</v>
      </c>
      <c r="E7" s="33">
        <f>$C$27*'E Balans VL '!I9/100/3.6*1000000</f>
        <v>1213.0390623211874</v>
      </c>
      <c r="F7" s="33">
        <f>$C$27*('E Balans VL '!L9+'E Balans VL '!N9)/100/3.6*1000000</f>
        <v>10727.132657728216</v>
      </c>
      <c r="G7" s="34"/>
      <c r="H7" s="33"/>
      <c r="I7" s="33"/>
      <c r="J7" s="33">
        <f>$C$27*('E Balans VL '!D9+'E Balans VL '!E9)/100/3.6*1000000</f>
        <v>0</v>
      </c>
      <c r="K7" s="33"/>
      <c r="L7" s="33"/>
      <c r="M7" s="33"/>
      <c r="N7" s="33">
        <f>$C$27*'E Balans VL '!Y9/100/3.6*1000000</f>
        <v>22.633226572844904</v>
      </c>
      <c r="O7" s="33"/>
      <c r="P7" s="33"/>
      <c r="R7" s="32"/>
    </row>
    <row r="8" spans="1:18">
      <c r="A8" s="6" t="s">
        <v>51</v>
      </c>
      <c r="B8" s="37">
        <f t="shared" si="0"/>
        <v>235017.41224000001</v>
      </c>
      <c r="C8" s="33"/>
      <c r="D8" s="37">
        <f>IF(ISERROR(TER_handel_gas_kWh/1000),0,TER_handel_gas_kWh/1000)*0.902</f>
        <v>147929.07138658001</v>
      </c>
      <c r="E8" s="33">
        <f>$C$28*'E Balans VL '!I13/100/3.6*1000000</f>
        <v>7675.2872237219071</v>
      </c>
      <c r="F8" s="33">
        <f>$C$28*('E Balans VL '!L13+'E Balans VL '!N13)/100/3.6*1000000</f>
        <v>40691.355375112558</v>
      </c>
      <c r="G8" s="34"/>
      <c r="H8" s="33"/>
      <c r="I8" s="33"/>
      <c r="J8" s="33">
        <f>$C$28*('E Balans VL '!D13+'E Balans VL '!E13)/100/3.6*1000000</f>
        <v>0</v>
      </c>
      <c r="K8" s="33"/>
      <c r="L8" s="33"/>
      <c r="M8" s="33"/>
      <c r="N8" s="33">
        <f>$C$28*'E Balans VL '!Y13/100/3.6*1000000</f>
        <v>276.6089748669873</v>
      </c>
      <c r="O8" s="33"/>
      <c r="P8" s="33"/>
      <c r="R8" s="32"/>
    </row>
    <row r="9" spans="1:18">
      <c r="A9" s="32" t="s">
        <v>50</v>
      </c>
      <c r="B9" s="37">
        <f t="shared" si="0"/>
        <v>56468.940536000002</v>
      </c>
      <c r="C9" s="33"/>
      <c r="D9" s="37">
        <f>IF(ISERROR(TER_gezond_gas_kWh/1000),0,TER_gezond_gas_kWh/1000)*0.902</f>
        <v>105292.74848224001</v>
      </c>
      <c r="E9" s="33">
        <f>$C$29*'E Balans VL '!I10/100/3.6*1000000</f>
        <v>3.1533675281891633</v>
      </c>
      <c r="F9" s="33">
        <f>$C$29*('E Balans VL '!L10+'E Balans VL '!N10)/100/3.6*1000000</f>
        <v>7481.9245486078735</v>
      </c>
      <c r="G9" s="34"/>
      <c r="H9" s="33"/>
      <c r="I9" s="33"/>
      <c r="J9" s="33">
        <f>$C$29*('E Balans VL '!D10+'E Balans VL '!E10)/100/3.6*1000000</f>
        <v>0</v>
      </c>
      <c r="K9" s="33"/>
      <c r="L9" s="33"/>
      <c r="M9" s="33"/>
      <c r="N9" s="33">
        <f>$C$29*'E Balans VL '!Y10/100/3.6*1000000</f>
        <v>598.53281513977163</v>
      </c>
      <c r="O9" s="33"/>
      <c r="P9" s="33"/>
      <c r="R9" s="32"/>
    </row>
    <row r="10" spans="1:18">
      <c r="A10" s="32" t="s">
        <v>49</v>
      </c>
      <c r="B10" s="37">
        <f t="shared" si="0"/>
        <v>70228.149212000004</v>
      </c>
      <c r="C10" s="33"/>
      <c r="D10" s="37">
        <f>IF(ISERROR(TER_ander_gas_kWh/1000),0,TER_ander_gas_kWh/1000)*0.902</f>
        <v>82196.294710178001</v>
      </c>
      <c r="E10" s="33">
        <f>$C$30*'E Balans VL '!I14/100/3.6*1000000</f>
        <v>906.88595149531977</v>
      </c>
      <c r="F10" s="33">
        <f>$C$30*('E Balans VL '!L14+'E Balans VL '!N14)/100/3.6*1000000</f>
        <v>46355.587651646565</v>
      </c>
      <c r="G10" s="34"/>
      <c r="H10" s="33"/>
      <c r="I10" s="33"/>
      <c r="J10" s="33">
        <f>$C$30*('E Balans VL '!D14+'E Balans VL '!E14)/100/3.6*1000000</f>
        <v>0.85075885297172749</v>
      </c>
      <c r="K10" s="33"/>
      <c r="L10" s="33"/>
      <c r="M10" s="33"/>
      <c r="N10" s="33">
        <f>$C$30*'E Balans VL '!Y14/100/3.6*1000000</f>
        <v>29614.924583981749</v>
      </c>
      <c r="O10" s="33"/>
      <c r="P10" s="33"/>
      <c r="R10" s="32"/>
    </row>
    <row r="11" spans="1:18">
      <c r="A11" s="32" t="s">
        <v>54</v>
      </c>
      <c r="B11" s="37">
        <f t="shared" si="0"/>
        <v>56563.398225000004</v>
      </c>
      <c r="C11" s="33"/>
      <c r="D11" s="37">
        <f>IF(ISERROR(TER_onderwijs_gas_kWh/1000),0,TER_onderwijs_gas_kWh/1000)*0.902</f>
        <v>169950.40175410002</v>
      </c>
      <c r="E11" s="33">
        <f>$C$31*'E Balans VL '!I11/100/3.6*1000000</f>
        <v>761.2030199602558</v>
      </c>
      <c r="F11" s="33">
        <f>$C$31*('E Balans VL '!L11+'E Balans VL '!N11)/100/3.6*1000000</f>
        <v>8839.5737020768302</v>
      </c>
      <c r="G11" s="34"/>
      <c r="H11" s="33"/>
      <c r="I11" s="33"/>
      <c r="J11" s="33">
        <f>$C$31*('E Balans VL '!D11+'E Balans VL '!E11)/100/3.6*1000000</f>
        <v>0</v>
      </c>
      <c r="K11" s="33"/>
      <c r="L11" s="33"/>
      <c r="M11" s="33"/>
      <c r="N11" s="33">
        <f>$C$31*'E Balans VL '!Y11/100/3.6*1000000</f>
        <v>130.60756677770982</v>
      </c>
      <c r="O11" s="33"/>
      <c r="P11" s="33"/>
      <c r="R11" s="32"/>
    </row>
    <row r="12" spans="1:18">
      <c r="A12" s="32" t="s">
        <v>249</v>
      </c>
      <c r="B12" s="37">
        <f t="shared" si="0"/>
        <v>76468.15206800001</v>
      </c>
      <c r="C12" s="33"/>
      <c r="D12" s="37">
        <f>IF(ISERROR(TER_rest_gas_kWh/1000),0,TER_rest_gas_kWh/1000)*0.902</f>
        <v>160083.90047012002</v>
      </c>
      <c r="E12" s="33">
        <f>$C$32*'E Balans VL '!I8/100/3.6*1000000</f>
        <v>1034.3971302471623</v>
      </c>
      <c r="F12" s="33">
        <f>$C$32*('E Balans VL '!L8+'E Balans VL '!N8)/100/3.6*1000000</f>
        <v>18283.034844311493</v>
      </c>
      <c r="G12" s="34"/>
      <c r="H12" s="33"/>
      <c r="I12" s="33"/>
      <c r="J12" s="33">
        <f>$C$32*('E Balans VL '!D8+'E Balans VL '!E8)/100/3.6*1000000</f>
        <v>0.16741185427863117</v>
      </c>
      <c r="K12" s="33"/>
      <c r="L12" s="33"/>
      <c r="M12" s="33"/>
      <c r="N12" s="33">
        <f>$C$32*'E Balans VL '!Y8/100/3.6*1000000</f>
        <v>5955.6338417360039</v>
      </c>
      <c r="O12" s="33"/>
      <c r="P12" s="33"/>
      <c r="R12" s="32"/>
    </row>
    <row r="13" spans="1:18">
      <c r="A13" s="16" t="s">
        <v>477</v>
      </c>
      <c r="B13" s="242">
        <f ca="1">'lokale energieproductie'!N50+'lokale energieproductie'!N42</f>
        <v>26987.208333333332</v>
      </c>
      <c r="C13" s="242">
        <f ca="1">'lokale energieproductie'!O50+'lokale energieproductie'!O42</f>
        <v>10312.443211068212</v>
      </c>
      <c r="D13" s="300">
        <f ca="1">('lokale energieproductie'!P42+'lokale energieproductie'!P50)*(-1)</f>
        <v>-20624.771557271561</v>
      </c>
      <c r="E13" s="243"/>
      <c r="F13" s="300">
        <f ca="1">('lokale energieproductie'!S42+'lokale energieproductie'!S50)*(-1)</f>
        <v>0</v>
      </c>
      <c r="G13" s="244"/>
      <c r="H13" s="243"/>
      <c r="I13" s="243"/>
      <c r="J13" s="243"/>
      <c r="K13" s="243"/>
      <c r="L13" s="300">
        <f ca="1">('lokale energieproductie'!U42+'lokale energieproductie'!T42+'lokale energieproductie'!U50+'lokale energieproductie'!T50)*(-1)</f>
        <v>0</v>
      </c>
      <c r="M13" s="243"/>
      <c r="N13" s="300">
        <f ca="1">('lokale energieproductie'!Q42+'lokale energieproductie'!R42+'lokale energieproductie'!V42+'lokale energieproductie'!Q50+'lokale energieproductie'!R50+'lokale energieproductie'!V50)*(-1)</f>
        <v>-56481.428571428572</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1183367.704541333</v>
      </c>
      <c r="C16" s="21">
        <f t="shared" ca="1" si="1"/>
        <v>10312.443211068212</v>
      </c>
      <c r="D16" s="21">
        <f t="shared" ca="1" si="1"/>
        <v>1499053.8640455268</v>
      </c>
      <c r="E16" s="21">
        <f t="shared" si="1"/>
        <v>11593.965755274023</v>
      </c>
      <c r="F16" s="21">
        <f t="shared" ca="1" si="1"/>
        <v>208981.46928615373</v>
      </c>
      <c r="G16" s="21">
        <f t="shared" si="1"/>
        <v>0</v>
      </c>
      <c r="H16" s="21">
        <f t="shared" si="1"/>
        <v>0</v>
      </c>
      <c r="I16" s="21">
        <f t="shared" si="1"/>
        <v>0</v>
      </c>
      <c r="J16" s="21">
        <f t="shared" si="1"/>
        <v>1.0181707072503587</v>
      </c>
      <c r="K16" s="21">
        <f t="shared" si="1"/>
        <v>0</v>
      </c>
      <c r="L16" s="21">
        <f t="shared" ca="1" si="1"/>
        <v>0</v>
      </c>
      <c r="M16" s="21">
        <f t="shared" si="1"/>
        <v>0</v>
      </c>
      <c r="N16" s="21">
        <f t="shared" ca="1" si="1"/>
        <v>0</v>
      </c>
      <c r="O16" s="21">
        <f>O5</f>
        <v>21.88666666666667</v>
      </c>
      <c r="P16" s="21">
        <f>P5</f>
        <v>838.93333333333339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0.20677347796044929</v>
      </c>
      <c r="C18" s="25">
        <f ca="1">'EF ele_warmte'!B22</f>
        <v>0.23764619518987823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244689.0559740848</v>
      </c>
      <c r="C20" s="23">
        <f t="shared" ref="C20:P20" ca="1" si="2">C16*C18</f>
        <v>2450.7128922220509</v>
      </c>
      <c r="D20" s="23">
        <f t="shared" ca="1" si="2"/>
        <v>302808.88053719641</v>
      </c>
      <c r="E20" s="23">
        <f t="shared" si="2"/>
        <v>2631.8302264472031</v>
      </c>
      <c r="F20" s="23">
        <f t="shared" ca="1" si="2"/>
        <v>55798.052299403047</v>
      </c>
      <c r="G20" s="23">
        <f t="shared" si="2"/>
        <v>0</v>
      </c>
      <c r="H20" s="23">
        <f t="shared" si="2"/>
        <v>0</v>
      </c>
      <c r="I20" s="23">
        <f t="shared" si="2"/>
        <v>0</v>
      </c>
      <c r="J20" s="23">
        <f t="shared" si="2"/>
        <v>0.36043243036662698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566658.26506999996</v>
      </c>
      <c r="C26" s="39">
        <f>IF(ISERROR(B26*3.6/1000000/'E Balans VL '!Z12*100),0,B26*3.6/1000000/'E Balans VL '!Z12*100)</f>
        <v>15.204127671136625</v>
      </c>
      <c r="D26" s="232" t="s">
        <v>621</v>
      </c>
      <c r="F26" s="6"/>
    </row>
    <row r="27" spans="1:18">
      <c r="A27" s="227" t="s">
        <v>52</v>
      </c>
      <c r="B27" s="33">
        <f>IF(ISERROR(TER_horeca_ele_kWh/1000),0,TER_horeca_ele_kWh/1000)</f>
        <v>94976.178856999992</v>
      </c>
      <c r="C27" s="39">
        <f>IF(ISERROR(B27*3.6/1000000/'E Balans VL '!Z9*100),0,B27*3.6/1000000/'E Balans VL '!Z9*100)</f>
        <v>7.545193983953034</v>
      </c>
      <c r="D27" s="232" t="s">
        <v>621</v>
      </c>
      <c r="F27" s="6"/>
    </row>
    <row r="28" spans="1:18">
      <c r="A28" s="167" t="s">
        <v>51</v>
      </c>
      <c r="B28" s="33">
        <f>IF(ISERROR(TER_handel_ele_kWh/1000),0,TER_handel_ele_kWh/1000)</f>
        <v>235017.41224000001</v>
      </c>
      <c r="C28" s="39">
        <f>IF(ISERROR(B28*3.6/1000000/'E Balans VL '!Z13*100),0,B28*3.6/1000000/'E Balans VL '!Z13*100)</f>
        <v>6.8742315151167244</v>
      </c>
      <c r="D28" s="232" t="s">
        <v>621</v>
      </c>
      <c r="F28" s="6"/>
    </row>
    <row r="29" spans="1:18">
      <c r="A29" s="227" t="s">
        <v>50</v>
      </c>
      <c r="B29" s="33">
        <f>IF(ISERROR(TER_gezond_ele_kWh/1000),0,TER_gezond_ele_kWh/1000)</f>
        <v>56468.940536000002</v>
      </c>
      <c r="C29" s="39">
        <f>IF(ISERROR(B29*3.6/1000000/'E Balans VL '!Z10*100),0,B29*3.6/1000000/'E Balans VL '!Z10*100)</f>
        <v>5.9933821915730219</v>
      </c>
      <c r="D29" s="232" t="s">
        <v>621</v>
      </c>
      <c r="F29" s="6"/>
    </row>
    <row r="30" spans="1:18">
      <c r="A30" s="227" t="s">
        <v>49</v>
      </c>
      <c r="B30" s="33">
        <f>IF(ISERROR(TER_ander_ele_kWh/1000),0,TER_ander_ele_kWh/1000)</f>
        <v>70228.149212000004</v>
      </c>
      <c r="C30" s="39">
        <f>IF(ISERROR(B30*3.6/1000000/'E Balans VL '!Z14*100),0,B30*3.6/1000000/'E Balans VL '!Z14*100)</f>
        <v>3.2665655617515132</v>
      </c>
      <c r="D30" s="232" t="s">
        <v>621</v>
      </c>
      <c r="F30" s="6"/>
    </row>
    <row r="31" spans="1:18">
      <c r="A31" s="227" t="s">
        <v>54</v>
      </c>
      <c r="B31" s="33">
        <f>IF(ISERROR(TER_onderwijs_ele_kWh/1000),0,TER_onderwijs_ele_kWh/1000)</f>
        <v>56563.398225000004</v>
      </c>
      <c r="C31" s="39">
        <f>IF(ISERROR(B31*3.6/1000000/'E Balans VL '!Z11*100),0,B31*3.6/1000000/'E Balans VL '!Z11*100)</f>
        <v>14.156646259098205</v>
      </c>
      <c r="D31" s="232" t="s">
        <v>621</v>
      </c>
    </row>
    <row r="32" spans="1:18">
      <c r="A32" s="227" t="s">
        <v>249</v>
      </c>
      <c r="B32" s="33">
        <f>IF(ISERROR(TER_rest_ele_kWh/1000),0,TER_rest_ele_kWh/1000)</f>
        <v>76468.15206800001</v>
      </c>
      <c r="C32" s="39">
        <f>IF(ISERROR(B32*3.6/1000000/'E Balans VL '!Z8*100),0,B32*3.6/1000000/'E Balans VL '!Z8*100)</f>
        <v>0.64279295584798646</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14</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44</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300692.52460960002</v>
      </c>
      <c r="C5" s="17">
        <f>IF(ISERROR('Eigen informatie GS &amp; warmtenet'!B59),0,'Eigen informatie GS &amp; warmtenet'!B59)</f>
        <v>0</v>
      </c>
      <c r="D5" s="30">
        <f>SUM(D6:D15)</f>
        <v>306138.30993507453</v>
      </c>
      <c r="E5" s="17">
        <f>SUM(E6:E15)</f>
        <v>20283.51302877054</v>
      </c>
      <c r="F5" s="17">
        <f>SUM(F6:F15)</f>
        <v>115547.27390064413</v>
      </c>
      <c r="G5" s="18"/>
      <c r="H5" s="17"/>
      <c r="I5" s="17"/>
      <c r="J5" s="17">
        <f>SUM(J6:J15)</f>
        <v>1163.9834965321211</v>
      </c>
      <c r="K5" s="17"/>
      <c r="L5" s="17"/>
      <c r="M5" s="17"/>
      <c r="N5" s="17">
        <f>SUM(N6:N15)</f>
        <v>39092.05254492972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672.43499999999995</v>
      </c>
      <c r="C7" s="33"/>
      <c r="D7" s="37">
        <f>IF( ISERROR(IND_nonf_gas_kWhh/1000),0,IND_nonf_gas_kWh/1000)*0.902</f>
        <v>0</v>
      </c>
      <c r="E7" s="33">
        <f>C29*'E Balans VL '!I17/100/3.6*1000000</f>
        <v>8.3526490791688612</v>
      </c>
      <c r="F7" s="33">
        <f>C29*'E Balans VL '!L17/100/3.6*1000000+C29*'E Balans VL '!N17/100/3.6*1000000</f>
        <v>177.93682144498794</v>
      </c>
      <c r="G7" s="34"/>
      <c r="H7" s="33"/>
      <c r="I7" s="33"/>
      <c r="J7" s="40">
        <f>C29*'E Balans VL '!D17/100/3.6*1000000+C29*'E Balans VL '!E17/100/3.6*1000000</f>
        <v>335.21159714268998</v>
      </c>
      <c r="K7" s="33"/>
      <c r="L7" s="33"/>
      <c r="M7" s="33"/>
      <c r="N7" s="33">
        <f>C29*'E Balans VL '!Y17/100/3.6*1000000</f>
        <v>0</v>
      </c>
      <c r="O7" s="33"/>
      <c r="P7" s="33"/>
      <c r="R7" s="32"/>
    </row>
    <row r="8" spans="1:18">
      <c r="A8" s="6" t="s">
        <v>35</v>
      </c>
      <c r="B8" s="37">
        <f t="shared" si="0"/>
        <v>108328.081835</v>
      </c>
      <c r="C8" s="33"/>
      <c r="D8" s="37">
        <f>IF( ISERROR(IND_metaal_Gas_kWH/1000),0,IND_metaal_Gas_kWH/1000)*0.902</f>
        <v>3910.9606866153995</v>
      </c>
      <c r="E8" s="33">
        <f>C30*'E Balans VL '!I18/100/3.6*1000000</f>
        <v>3897.9720990859742</v>
      </c>
      <c r="F8" s="33">
        <f>C30*'E Balans VL '!L18/100/3.6*1000000+C30*'E Balans VL '!N18/100/3.6*1000000</f>
        <v>47303.361718745997</v>
      </c>
      <c r="G8" s="34"/>
      <c r="H8" s="33"/>
      <c r="I8" s="33"/>
      <c r="J8" s="40">
        <f>C30*'E Balans VL '!D18/100/3.6*1000000+C30*'E Balans VL '!E18/100/3.6*1000000</f>
        <v>0</v>
      </c>
      <c r="K8" s="33"/>
      <c r="L8" s="33"/>
      <c r="M8" s="33"/>
      <c r="N8" s="33">
        <f>C30*'E Balans VL '!Y18/100/3.6*1000000</f>
        <v>5429.3298448381938</v>
      </c>
      <c r="O8" s="33"/>
      <c r="P8" s="33"/>
      <c r="R8" s="32"/>
    </row>
    <row r="9" spans="1:18">
      <c r="A9" s="6" t="s">
        <v>32</v>
      </c>
      <c r="B9" s="37">
        <f t="shared" si="0"/>
        <v>42895.382869000001</v>
      </c>
      <c r="C9" s="33"/>
      <c r="D9" s="37">
        <f>IF( ISERROR(IND_andere_gas_kWh/1000),0,IND_andere_gas_kWh/1000)*0.902</f>
        <v>34430.040153146001</v>
      </c>
      <c r="E9" s="33">
        <f>C31*'E Balans VL '!I19/100/3.6*1000000</f>
        <v>10945.931172947707</v>
      </c>
      <c r="F9" s="33">
        <f>C31*'E Balans VL '!L19/100/3.6*1000000+C31*'E Balans VL '!N19/100/3.6*1000000</f>
        <v>36929.700507888672</v>
      </c>
      <c r="G9" s="34"/>
      <c r="H9" s="33"/>
      <c r="I9" s="33"/>
      <c r="J9" s="40">
        <f>C31*'E Balans VL '!D19/100/3.6*1000000+C31*'E Balans VL '!E19/100/3.6*1000000</f>
        <v>0</v>
      </c>
      <c r="K9" s="33"/>
      <c r="L9" s="33"/>
      <c r="M9" s="33"/>
      <c r="N9" s="33">
        <f>C31*'E Balans VL '!Y19/100/3.6*1000000</f>
        <v>3383.9437587631792</v>
      </c>
      <c r="O9" s="33"/>
      <c r="P9" s="33"/>
      <c r="R9" s="32"/>
    </row>
    <row r="10" spans="1:18">
      <c r="A10" s="6" t="s">
        <v>40</v>
      </c>
      <c r="B10" s="37">
        <f t="shared" si="0"/>
        <v>68209.865137999994</v>
      </c>
      <c r="C10" s="33"/>
      <c r="D10" s="37">
        <f>IF( ISERROR(IND_voed_gas_kWh/1000),0,IND_voed_gas_kWh/1000)*0.902</f>
        <v>21284.406024332002</v>
      </c>
      <c r="E10" s="33">
        <f>C32*'E Balans VL '!I20/100/3.6*1000000</f>
        <v>1733.9884316280584</v>
      </c>
      <c r="F10" s="33">
        <f>C32*'E Balans VL '!L20/100/3.6*1000000+C32*'E Balans VL '!N20/100/3.6*1000000</f>
        <v>15434.868562350899</v>
      </c>
      <c r="G10" s="34"/>
      <c r="H10" s="33"/>
      <c r="I10" s="33"/>
      <c r="J10" s="40">
        <f>C32*'E Balans VL '!D20/100/3.6*1000000+C32*'E Balans VL '!E20/100/3.6*1000000</f>
        <v>0</v>
      </c>
      <c r="K10" s="33"/>
      <c r="L10" s="33"/>
      <c r="M10" s="33"/>
      <c r="N10" s="33">
        <f>C32*'E Balans VL '!Y20/100/3.6*1000000</f>
        <v>25580.548327868604</v>
      </c>
      <c r="O10" s="33"/>
      <c r="P10" s="33"/>
      <c r="R10" s="32"/>
    </row>
    <row r="11" spans="1:18">
      <c r="A11" s="6" t="s">
        <v>39</v>
      </c>
      <c r="B11" s="37">
        <f t="shared" si="0"/>
        <v>1772.6595244</v>
      </c>
      <c r="C11" s="33"/>
      <c r="D11" s="37">
        <f>IF( ISERROR(IND_textiel_gas_kWh/1000),0,IND_textiel_gas_kWh/1000)*0.902</f>
        <v>978.70668286974012</v>
      </c>
      <c r="E11" s="33">
        <f>C33*'E Balans VL '!I21/100/3.6*1000000</f>
        <v>4.8664271031297099</v>
      </c>
      <c r="F11" s="33">
        <f>C33*'E Balans VL '!L21/100/3.6*1000000+C33*'E Balans VL '!N21/100/3.6*1000000</f>
        <v>93.979020359525293</v>
      </c>
      <c r="G11" s="34"/>
      <c r="H11" s="33"/>
      <c r="I11" s="33"/>
      <c r="J11" s="40">
        <f>C33*'E Balans VL '!D21/100/3.6*1000000+C33*'E Balans VL '!E21/100/3.6*1000000</f>
        <v>0</v>
      </c>
      <c r="K11" s="33"/>
      <c r="L11" s="33"/>
      <c r="M11" s="33"/>
      <c r="N11" s="33">
        <f>C33*'E Balans VL '!Y21/100/3.6*1000000</f>
        <v>3.5627522997258958</v>
      </c>
      <c r="O11" s="33"/>
      <c r="P11" s="33"/>
      <c r="R11" s="32"/>
    </row>
    <row r="12" spans="1:18">
      <c r="A12" s="6" t="s">
        <v>36</v>
      </c>
      <c r="B12" s="37">
        <f t="shared" si="0"/>
        <v>9573.9604510600002</v>
      </c>
      <c r="C12" s="33"/>
      <c r="D12" s="37">
        <f>IF( ISERROR(IND_min_gas_kWh/1000),0,IND_min_gas_kWh/1000)*0.902</f>
        <v>0</v>
      </c>
      <c r="E12" s="33">
        <f>C34*'E Balans VL '!I22/100/3.6*1000000</f>
        <v>203.42266511265726</v>
      </c>
      <c r="F12" s="33">
        <f>C34*'E Balans VL '!L22/100/3.6*1000000+C34*'E Balans VL '!N22/100/3.6*1000000</f>
        <v>1562.0732378255448</v>
      </c>
      <c r="G12" s="34"/>
      <c r="H12" s="33"/>
      <c r="I12" s="33"/>
      <c r="J12" s="40">
        <f>C34*'E Balans VL '!D22/100/3.6*1000000+C34*'E Balans VL '!E22/100/3.6*1000000</f>
        <v>11.154557372375589</v>
      </c>
      <c r="K12" s="33"/>
      <c r="L12" s="33"/>
      <c r="M12" s="33"/>
      <c r="N12" s="33">
        <f>C34*'E Balans VL '!Y22/100/3.6*1000000</f>
        <v>0</v>
      </c>
      <c r="O12" s="33"/>
      <c r="P12" s="33"/>
      <c r="R12" s="32"/>
    </row>
    <row r="13" spans="1:18">
      <c r="A13" s="6" t="s">
        <v>38</v>
      </c>
      <c r="B13" s="37">
        <f t="shared" si="0"/>
        <v>4475.6992203999998</v>
      </c>
      <c r="C13" s="33"/>
      <c r="D13" s="37">
        <f>IF( ISERROR(IND_papier_gas_kWh/1000),0,IND_papier_gas_kWh/1000)*0.902</f>
        <v>1974.0372145186002</v>
      </c>
      <c r="E13" s="33">
        <f>C35*'E Balans VL '!I23/100/3.6*1000000</f>
        <v>19.194971895798471</v>
      </c>
      <c r="F13" s="33">
        <f>C35*'E Balans VL '!L23/100/3.6*1000000+C35*'E Balans VL '!N23/100/3.6*1000000</f>
        <v>112.48821309468678</v>
      </c>
      <c r="G13" s="34"/>
      <c r="H13" s="33"/>
      <c r="I13" s="33"/>
      <c r="J13" s="40">
        <f>C35*'E Balans VL '!D23/100/3.6*1000000+C35*'E Balans VL '!E23/100/3.6*1000000</f>
        <v>299.62351460536985</v>
      </c>
      <c r="K13" s="33"/>
      <c r="L13" s="33"/>
      <c r="M13" s="33"/>
      <c r="N13" s="33">
        <f>C35*'E Balans VL '!Y23/100/3.6*1000000</f>
        <v>1091.4603519994566</v>
      </c>
      <c r="O13" s="33"/>
      <c r="P13" s="33"/>
      <c r="R13" s="32"/>
    </row>
    <row r="14" spans="1:18">
      <c r="A14" s="6" t="s">
        <v>33</v>
      </c>
      <c r="B14" s="37">
        <f t="shared" si="0"/>
        <v>870.71361674000002</v>
      </c>
      <c r="C14" s="33"/>
      <c r="D14" s="37">
        <f>IF( ISERROR(IND_chemie_gas_kWh/1000),0,IND_chemie_gas_kWh/1000)*0.902</f>
        <v>447.33724535279998</v>
      </c>
      <c r="E14" s="33">
        <f>C36*'E Balans VL '!I24/100/3.6*1000000</f>
        <v>2.0873995103210281</v>
      </c>
      <c r="F14" s="33">
        <f>C36*'E Balans VL '!L24/100/3.6*1000000+C36*'E Balans VL '!N24/100/3.6*1000000</f>
        <v>6.9876737334408636</v>
      </c>
      <c r="G14" s="34"/>
      <c r="H14" s="33"/>
      <c r="I14" s="33"/>
      <c r="J14" s="40">
        <f>C36*'E Balans VL '!D24/100/3.6*1000000+C36*'E Balans VL '!E24/100/3.6*1000000</f>
        <v>0</v>
      </c>
      <c r="K14" s="33"/>
      <c r="L14" s="33"/>
      <c r="M14" s="33"/>
      <c r="N14" s="33">
        <f>C36*'E Balans VL '!Y24/100/3.6*1000000</f>
        <v>17.996975427900171</v>
      </c>
      <c r="O14" s="33"/>
      <c r="P14" s="33"/>
      <c r="R14" s="32"/>
    </row>
    <row r="15" spans="1:18">
      <c r="A15" s="6" t="s">
        <v>259</v>
      </c>
      <c r="B15" s="37">
        <f t="shared" si="0"/>
        <v>63893.726954999998</v>
      </c>
      <c r="C15" s="33"/>
      <c r="D15" s="37">
        <f>IF( ISERROR(IND_rest_gas_kWh/1000),0,IND_rest_gas_kWh/1000)*0.902</f>
        <v>243112.82192824001</v>
      </c>
      <c r="E15" s="33">
        <f>C37*'E Balans VL '!I15/100/3.6*1000000</f>
        <v>3467.697212407727</v>
      </c>
      <c r="F15" s="33">
        <f>C37*'E Balans VL '!L15/100/3.6*1000000+C37*'E Balans VL '!N15/100/3.6*1000000</f>
        <v>13925.878145200368</v>
      </c>
      <c r="G15" s="34"/>
      <c r="H15" s="33"/>
      <c r="I15" s="33"/>
      <c r="J15" s="40">
        <f>C37*'E Balans VL '!D15/100/3.6*1000000+C37*'E Balans VL '!E15/100/3.6*1000000</f>
        <v>517.99382741168586</v>
      </c>
      <c r="K15" s="33"/>
      <c r="L15" s="33"/>
      <c r="M15" s="33"/>
      <c r="N15" s="33">
        <f>C37*'E Balans VL '!Y15/100/3.6*1000000</f>
        <v>3585.2105337326561</v>
      </c>
      <c r="O15" s="33"/>
      <c r="P15" s="33"/>
      <c r="R15" s="32"/>
    </row>
    <row r="16" spans="1:18">
      <c r="A16" s="16" t="s">
        <v>477</v>
      </c>
      <c r="B16" s="242">
        <f>'lokale energieproductie'!N49+'lokale energieproductie'!N41</f>
        <v>3627</v>
      </c>
      <c r="C16" s="242">
        <f>'lokale energieproductie'!O49+'lokale energieproductie'!O41</f>
        <v>5181.4285714285716</v>
      </c>
      <c r="D16" s="300">
        <f>('lokale energieproductie'!P41+'lokale energieproductie'!P49)*(-1)</f>
        <v>-10362.857142857143</v>
      </c>
      <c r="E16" s="243"/>
      <c r="F16" s="300">
        <f>('lokale energieproductie'!S41+'lokale energieproductie'!S49)*(-1)</f>
        <v>0</v>
      </c>
      <c r="G16" s="244"/>
      <c r="H16" s="243"/>
      <c r="I16" s="243"/>
      <c r="J16" s="243"/>
      <c r="K16" s="243"/>
      <c r="L16" s="300">
        <f>('lokale energieproductie'!T41+'lokale energieproductie'!U41+'lokale energieproductie'!T49+'lokale energieproductie'!U49)*(-1)</f>
        <v>0</v>
      </c>
      <c r="M16" s="243"/>
      <c r="N16" s="300">
        <f>('lokale energieproductie'!Q41+'lokale energieproductie'!R41+'lokale energieproductie'!V41+'lokale energieproductie'!Q49+'lokale energieproductie'!R49+'lokale energieproductie'!V49)*(-1)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304319.52460960002</v>
      </c>
      <c r="C18" s="21">
        <f>C5+C16</f>
        <v>5181.4285714285716</v>
      </c>
      <c r="D18" s="21">
        <f>MAX((D5+D16),0)</f>
        <v>295775.45279221737</v>
      </c>
      <c r="E18" s="21">
        <f>MAX((E5+E16),0)</f>
        <v>20283.51302877054</v>
      </c>
      <c r="F18" s="21">
        <f>MAX((F5+F16),0)</f>
        <v>115547.27390064413</v>
      </c>
      <c r="G18" s="21"/>
      <c r="H18" s="21"/>
      <c r="I18" s="21"/>
      <c r="J18" s="21">
        <f>MAX((J5+J16),0)</f>
        <v>1163.9834965321211</v>
      </c>
      <c r="K18" s="21"/>
      <c r="L18" s="21">
        <f>MAX((L5+L16),0)</f>
        <v>0</v>
      </c>
      <c r="M18" s="21"/>
      <c r="N18" s="21">
        <f>MAX((N5+N16),0)</f>
        <v>39092.05254492972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0.20677347796044929</v>
      </c>
      <c r="C20" s="25">
        <f ca="1">'EF ele_warmte'!B22</f>
        <v>0.23764619518987823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62925.206514797537</v>
      </c>
      <c r="C22" s="23">
        <f ca="1">C18*C20</f>
        <v>1231.3467856481261</v>
      </c>
      <c r="D22" s="23">
        <f>D18*D20</f>
        <v>59746.641464027911</v>
      </c>
      <c r="E22" s="23">
        <f>E18*E20</f>
        <v>4604.3574575309131</v>
      </c>
      <c r="F22" s="23">
        <f>F18*F20</f>
        <v>30851.122131471984</v>
      </c>
      <c r="G22" s="23"/>
      <c r="H22" s="23"/>
      <c r="I22" s="23"/>
      <c r="J22" s="23">
        <f>J18*J20</f>
        <v>412.05015777237082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672.43499999999995</v>
      </c>
      <c r="C29" s="39">
        <f>IF(ISERROR(B29*3.6/1000000/'E Balans VL '!Z17*100),0,B29*3.6/1000000/'E Balans VL '!Z17*100)</f>
        <v>0.71803360948496242</v>
      </c>
      <c r="D29" s="232" t="s">
        <v>621</v>
      </c>
    </row>
    <row r="30" spans="1:18">
      <c r="A30" s="167" t="s">
        <v>35</v>
      </c>
      <c r="B30" s="37">
        <f>IF( ISERROR(IND_metaal_ele_kWh/1000),0,IND_metaal_ele_kWh/1000)</f>
        <v>108328.081835</v>
      </c>
      <c r="C30" s="39">
        <f>IF(ISERROR(B30*3.6/1000000/'E Balans VL '!Z18*100),0,B30*3.6/1000000/'E Balans VL '!Z18*100)</f>
        <v>22.952398047972515</v>
      </c>
      <c r="D30" s="232" t="s">
        <v>621</v>
      </c>
    </row>
    <row r="31" spans="1:18">
      <c r="A31" s="6" t="s">
        <v>32</v>
      </c>
      <c r="B31" s="37">
        <f>IF( ISERROR(IND_ander_ele_kWh/1000),0,IND_ander_ele_kWh/1000)</f>
        <v>42895.382869000001</v>
      </c>
      <c r="C31" s="39">
        <f>IF(ISERROR(B31*3.6/1000000/'E Balans VL '!Z19*100),0,B31*3.6/1000000/'E Balans VL '!Z19*100)</f>
        <v>1.8055640660065944</v>
      </c>
      <c r="D31" s="232" t="s">
        <v>621</v>
      </c>
    </row>
    <row r="32" spans="1:18">
      <c r="A32" s="167" t="s">
        <v>40</v>
      </c>
      <c r="B32" s="37">
        <f>IF( ISERROR(IND_voed_ele_kWh/1000),0,IND_voed_ele_kWh/1000)</f>
        <v>68209.865137999994</v>
      </c>
      <c r="C32" s="39">
        <f>IF(ISERROR(B32*3.6/1000000/'E Balans VL '!Z20*100),0,B32*3.6/1000000/'E Balans VL '!Z20*100)</f>
        <v>11.395229712849119</v>
      </c>
      <c r="D32" s="232" t="s">
        <v>621</v>
      </c>
    </row>
    <row r="33" spans="1:5">
      <c r="A33" s="167" t="s">
        <v>39</v>
      </c>
      <c r="B33" s="37">
        <f>IF( ISERROR(IND_textiel_ele_kWh/1000),0,IND_textiel_ele_kWh/1000)</f>
        <v>1772.6595244</v>
      </c>
      <c r="C33" s="39">
        <f>IF(ISERROR(B33*3.6/1000000/'E Balans VL '!Z21*100),0,B33*3.6/1000000/'E Balans VL '!Z21*100)</f>
        <v>0.10349316774802893</v>
      </c>
      <c r="D33" s="232" t="s">
        <v>621</v>
      </c>
    </row>
    <row r="34" spans="1:5">
      <c r="A34" s="167" t="s">
        <v>36</v>
      </c>
      <c r="B34" s="37">
        <f>IF( ISERROR(IND_min_ele_kWh/1000),0,IND_min_ele_kWh/1000)</f>
        <v>9573.9604510600002</v>
      </c>
      <c r="C34" s="39">
        <f>IF(ISERROR(B34*3.6/1000000/'E Balans VL '!Z22*100),0,B34*3.6/1000000/'E Balans VL '!Z22*100)</f>
        <v>1.2135511193880739</v>
      </c>
      <c r="D34" s="232" t="s">
        <v>621</v>
      </c>
    </row>
    <row r="35" spans="1:5">
      <c r="A35" s="167" t="s">
        <v>38</v>
      </c>
      <c r="B35" s="37">
        <f>IF( ISERROR(IND_papier_ele_kWh/1000),0,IND_papier_ele_kWh/1000)</f>
        <v>4475.6992203999998</v>
      </c>
      <c r="C35" s="39">
        <f>IF(ISERROR(B35*3.6/1000000/'E Balans VL '!Z22*100),0,B35*3.6/1000000/'E Balans VL '!Z22*100)</f>
        <v>0.56731901356030678</v>
      </c>
      <c r="D35" s="232" t="s">
        <v>621</v>
      </c>
    </row>
    <row r="36" spans="1:5">
      <c r="A36" s="167" t="s">
        <v>33</v>
      </c>
      <c r="B36" s="37">
        <f>IF( ISERROR(IND_chemie_ele_kWh/1000),0,IND_chemie_ele_kWh/1000)</f>
        <v>870.71361674000002</v>
      </c>
      <c r="C36" s="39">
        <f>IF(ISERROR(B36*3.6/1000000/'E Balans VL '!Z24*100),0,B36*3.6/1000000/'E Balans VL '!Z24*100)</f>
        <v>2.828080635024249E-2</v>
      </c>
      <c r="D36" s="232" t="s">
        <v>621</v>
      </c>
    </row>
    <row r="37" spans="1:5">
      <c r="A37" s="167" t="s">
        <v>259</v>
      </c>
      <c r="B37" s="37">
        <f>IF( ISERROR(IND_rest_ele_kWh/1000),0,IND_rest_ele_kWh/1000)</f>
        <v>63893.726954999998</v>
      </c>
      <c r="C37" s="39">
        <f>IF(ISERROR(B37*3.6/1000000/'E Balans VL '!Z15*100),0,B37*3.6/1000000/'E Balans VL '!Z15*100)</f>
        <v>0.51583879849275482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23593.411825439998</v>
      </c>
      <c r="C5" s="17">
        <f>'Eigen informatie GS &amp; warmtenet'!B60</f>
        <v>0</v>
      </c>
      <c r="D5" s="30">
        <f>IF(ISERROR(SUM(LB_lb_gas_kWh,LB_rest_gas_kWh)/1000),0,SUM(LB_lb_gas_kWh,LB_rest_gas_kWh)/1000)*0.902</f>
        <v>20444.998813521259</v>
      </c>
      <c r="E5" s="17">
        <f>B17*'E Balans VL '!I25/3.6*1000000/100</f>
        <v>467.40577876938687</v>
      </c>
      <c r="F5" s="17">
        <f>B17*('E Balans VL '!L25/3.6*1000000+'E Balans VL '!N25/3.6*1000000)/100</f>
        <v>86038.518600875439</v>
      </c>
      <c r="G5" s="18"/>
      <c r="H5" s="17"/>
      <c r="I5" s="17"/>
      <c r="J5" s="17">
        <f>('E Balans VL '!D25+'E Balans VL '!E25)/3.6*1000000*landbouw!B17/100</f>
        <v>5602.0265244216589</v>
      </c>
      <c r="K5" s="17"/>
      <c r="L5" s="17">
        <f>L6*(-1)</f>
        <v>0</v>
      </c>
      <c r="M5" s="17"/>
      <c r="N5" s="17">
        <f>N6*(-1)</f>
        <v>0</v>
      </c>
      <c r="O5" s="17"/>
      <c r="P5" s="17"/>
      <c r="R5" s="32"/>
    </row>
    <row r="6" spans="1:18">
      <c r="A6" s="16" t="s">
        <v>477</v>
      </c>
      <c r="B6" s="17" t="s">
        <v>204</v>
      </c>
      <c r="C6" s="17">
        <f>'lokale energieproductie'!O51+'lokale energieproductie'!O43</f>
        <v>0</v>
      </c>
      <c r="D6" s="300">
        <f>('lokale energieproductie'!P43+'lokale energieproductie'!P51)*(-1)</f>
        <v>0</v>
      </c>
      <c r="E6" s="243"/>
      <c r="F6" s="300">
        <f>('lokale energieproductie'!S43+'lokale energieproductie'!S51)*(-1)</f>
        <v>0</v>
      </c>
      <c r="G6" s="244"/>
      <c r="H6" s="243"/>
      <c r="I6" s="243"/>
      <c r="J6" s="243"/>
      <c r="K6" s="243"/>
      <c r="L6" s="300">
        <f>('lokale energieproductie'!T43+'lokale energieproductie'!U43+'lokale energieproductie'!T51+'lokale energieproductie'!U51)*(-1)</f>
        <v>0</v>
      </c>
      <c r="M6" s="243"/>
      <c r="N6" s="300">
        <f>('lokale energieproductie'!V43+'lokale energieproductie'!R43+'lokale energieproductie'!Q43+'lokale energieproductie'!Q51+'lokale energieproductie'!R51+'lokale energieproductie'!V51)*(-1)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23593.411825439998</v>
      </c>
      <c r="C8" s="21">
        <f>C5+C6</f>
        <v>0</v>
      </c>
      <c r="D8" s="21">
        <f>MAX((D5+D6),0)</f>
        <v>20444.998813521259</v>
      </c>
      <c r="E8" s="21">
        <f>MAX((E5+E6),0)</f>
        <v>467.40577876938687</v>
      </c>
      <c r="F8" s="21">
        <f>MAX((F5+F6),0)</f>
        <v>86038.518600875439</v>
      </c>
      <c r="G8" s="21"/>
      <c r="H8" s="21"/>
      <c r="I8" s="21"/>
      <c r="J8" s="21">
        <f>MAX((J5+J6),0)</f>
        <v>5602.0265244216589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0.20677347796044929</v>
      </c>
      <c r="C10" s="31">
        <f ca="1">'EF ele_warmte'!B22</f>
        <v>0.23764619518987823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4878.4918200994207</v>
      </c>
      <c r="C12" s="23">
        <f ca="1">C8*C10</f>
        <v>0</v>
      </c>
      <c r="D12" s="23">
        <f>D8*D10</f>
        <v>4129.8897603312944</v>
      </c>
      <c r="E12" s="23">
        <f>E8*E10</f>
        <v>106.10111178065083</v>
      </c>
      <c r="F12" s="23">
        <f>F8*F10</f>
        <v>22972.284466433743</v>
      </c>
      <c r="G12" s="23"/>
      <c r="H12" s="23"/>
      <c r="I12" s="23"/>
      <c r="J12" s="23">
        <f>J8*J10</f>
        <v>1983.1173896452672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3.3268273466427418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66.963830846037681</v>
      </c>
      <c r="C26" s="242">
        <f>B26*'GWP N2O_CH4'!B5</f>
        <v>1406.2404477667912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6.379104731394234</v>
      </c>
      <c r="C27" s="242">
        <f>B27*'GWP N2O_CH4'!B5</f>
        <v>133.96119935927891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0.95469232981616181</v>
      </c>
      <c r="C28" s="242">
        <f>B28*'GWP N2O_CH4'!B4</f>
        <v>295.95462224301014</v>
      </c>
      <c r="D28" s="50"/>
    </row>
    <row r="29" spans="1:4">
      <c r="A29" s="41" t="s">
        <v>266</v>
      </c>
      <c r="B29" s="242">
        <f>B34*'ha_N2O bodem landbouw'!B4</f>
        <v>9.0009248506789952</v>
      </c>
      <c r="C29" s="242">
        <f>B29*'GWP N2O_CH4'!B4</f>
        <v>2790.2867037104884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2.0256972158874953E-3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2.831685632481522E-3</v>
      </c>
      <c r="C5" s="427" t="s">
        <v>204</v>
      </c>
      <c r="D5" s="412">
        <f>SUM(D6:D11)</f>
        <v>4.2355030214881288E-3</v>
      </c>
      <c r="E5" s="412">
        <f>SUM(E6:E11)</f>
        <v>2.1486454514440811E-2</v>
      </c>
      <c r="F5" s="425" t="s">
        <v>204</v>
      </c>
      <c r="G5" s="412">
        <f>SUM(G6:G11)</f>
        <v>8.995822178794139</v>
      </c>
      <c r="H5" s="412">
        <f>SUM(H6:H11)</f>
        <v>1.5023803507459987</v>
      </c>
      <c r="I5" s="427" t="s">
        <v>204</v>
      </c>
      <c r="J5" s="427" t="s">
        <v>204</v>
      </c>
      <c r="K5" s="427" t="s">
        <v>204</v>
      </c>
      <c r="L5" s="427" t="s">
        <v>204</v>
      </c>
      <c r="M5" s="412">
        <f>SUM(M6:M11)</f>
        <v>0.32803383514935092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7.2899072395007838E-4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1.1486921477348196E-3</v>
      </c>
      <c r="E6" s="818">
        <f>vkm_GW_PW*SUMIFS(TableVerdeelsleutelVkm[LPG],TableVerdeelsleutelVkm[Voertuigtype],"Lichte voertuigen")*SUMIFS(TableECFTransport[EnergieConsumptieFactor (PJ per km)],TableECFTransport[Index],CONCATENATE($A6,"_LPG_LPG"))</f>
        <v>5.2435092043074897E-3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1.415757690035419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0.39976822339227719</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5.6520980036687818E-2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1.4171724678034573E-5</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0.48848326148428256</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9.9239534523515114E-6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1.5367744039088608E-2</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3.929357913917384E-4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8.7711338893998374E-4</v>
      </c>
      <c r="E8" s="415">
        <f>vkm_NGW_PW*SUMIFS(TableVerdeelsleutelVkm[LPG],TableVerdeelsleutelVkm[Voertuigtype],"Lichte voertuigen")*SUMIFS(TableECFTransport[EnergieConsumptieFactor (PJ per km)],TableECFTransport[Index],CONCATENATE($A8,"_LPG_LPG"))</f>
        <v>3.8197336890189856E-3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0.96159989889552222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0.29617035907983358</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3.9128341146199751E-2</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3.4009531140281347E-6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0.15072618340127864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2.8746111321459443E-6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4.7418588182580636E-3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1.6027197544618058E-3</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2.2096974848133254E-3</v>
      </c>
      <c r="E10" s="415">
        <f>vkm_SW_PW*SUMIFS(TableVerdeelsleutelVkm[LPG],TableVerdeelsleutelVkm[Voertuigtype],"Lichte voertuigen")*SUMIFS(TableECFTransport[EnergieConsumptieFactor (PJ per km)],TableECFTransport[Index],CONCATENATE($A10,"_LPG_LPG"))</f>
        <v>1.2423211621114337E-2</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3.0408195705971193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0.80636448543797412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0.11983121971657143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8.9466684885836738E-5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2.9384355743805171</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6.4484271329614092E-5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9.2443691392545255E-2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786.57934235597827</v>
      </c>
      <c r="C14" s="21"/>
      <c r="D14" s="21">
        <f t="shared" ref="D14:M14" si="0">((D5)*10^9/3600)+D12</f>
        <v>1176.5286170800359</v>
      </c>
      <c r="E14" s="21">
        <f t="shared" si="0"/>
        <v>5968.4595873446697</v>
      </c>
      <c r="F14" s="21"/>
      <c r="G14" s="21">
        <f t="shared" si="0"/>
        <v>2498839.4941094834</v>
      </c>
      <c r="H14" s="21">
        <f t="shared" si="0"/>
        <v>417327.87520722183</v>
      </c>
      <c r="I14" s="21"/>
      <c r="J14" s="21"/>
      <c r="K14" s="21"/>
      <c r="L14" s="21"/>
      <c r="M14" s="21">
        <f t="shared" si="0"/>
        <v>91120.5097637086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0.20677347796044929</v>
      </c>
      <c r="C16" s="56">
        <f ca="1">'EF ele_warmte'!B22</f>
        <v>0.23764619518987823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162.64374631078857</v>
      </c>
      <c r="C18" s="23"/>
      <c r="D18" s="23">
        <f t="shared" ref="D18:M18" si="1">D14*D16</f>
        <v>237.65878065016727</v>
      </c>
      <c r="E18" s="23">
        <f t="shared" si="1"/>
        <v>1354.8403263272401</v>
      </c>
      <c r="F18" s="23"/>
      <c r="G18" s="23">
        <f t="shared" si="1"/>
        <v>667190.14492723206</v>
      </c>
      <c r="H18" s="23">
        <f t="shared" si="1"/>
        <v>103914.64092659824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0.1238690520240212</v>
      </c>
      <c r="C50" s="311">
        <f t="shared" ref="C50:P50" si="2">SUM(C51:C52)</f>
        <v>0</v>
      </c>
      <c r="D50" s="311">
        <f t="shared" si="2"/>
        <v>0</v>
      </c>
      <c r="E50" s="311">
        <f t="shared" si="2"/>
        <v>0</v>
      </c>
      <c r="F50" s="311">
        <f t="shared" si="2"/>
        <v>0</v>
      </c>
      <c r="G50" s="311">
        <f t="shared" si="2"/>
        <v>0.17244233265195658</v>
      </c>
      <c r="H50" s="311">
        <f t="shared" si="2"/>
        <v>0</v>
      </c>
      <c r="I50" s="311">
        <f t="shared" si="2"/>
        <v>0</v>
      </c>
      <c r="J50" s="311">
        <f t="shared" si="2"/>
        <v>0</v>
      </c>
      <c r="K50" s="311">
        <f t="shared" si="2"/>
        <v>0</v>
      </c>
      <c r="L50" s="311">
        <f t="shared" si="2"/>
        <v>0</v>
      </c>
      <c r="M50" s="311">
        <f t="shared" si="2"/>
        <v>5.3829814744744148E-3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9.6713564272300117E-4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0.17244233265195658</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5.3829814744744148E-3</v>
      </c>
      <c r="N51" s="313"/>
      <c r="O51" s="313"/>
      <c r="P51" s="316"/>
    </row>
    <row r="52" spans="1:18">
      <c r="A52" s="4" t="s">
        <v>318</v>
      </c>
      <c r="B52" s="819">
        <f>vkm_tram*SUMIFS(TableECFTransport[EnergieConsumptieFactor (PJ per km)],TableECFTransport[Index],"Tram_gemiddeld_Electric_Electric")</f>
        <v>0.12290191638129819</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34408.070006672555</v>
      </c>
      <c r="C54" s="21">
        <f t="shared" ref="C54:P54" si="3">(C50)*10^9/3600</f>
        <v>0</v>
      </c>
      <c r="D54" s="21">
        <f t="shared" si="3"/>
        <v>0</v>
      </c>
      <c r="E54" s="21">
        <f t="shared" si="3"/>
        <v>0</v>
      </c>
      <c r="F54" s="21">
        <f t="shared" si="3"/>
        <v>0</v>
      </c>
      <c r="G54" s="21">
        <f t="shared" si="3"/>
        <v>47900.647958876827</v>
      </c>
      <c r="H54" s="21">
        <f t="shared" si="3"/>
        <v>0</v>
      </c>
      <c r="I54" s="21">
        <f t="shared" si="3"/>
        <v>0</v>
      </c>
      <c r="J54" s="21">
        <f t="shared" si="3"/>
        <v>0</v>
      </c>
      <c r="K54" s="21">
        <f t="shared" si="3"/>
        <v>0</v>
      </c>
      <c r="L54" s="21">
        <f t="shared" si="3"/>
        <v>0</v>
      </c>
      <c r="M54" s="21">
        <f t="shared" si="3"/>
        <v>1495.2726317984486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0.20677347796044929</v>
      </c>
      <c r="C56" s="56">
        <f ca="1">'EF ele_warmte'!B22</f>
        <v>0.23764619518987823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7114.6763051863036</v>
      </c>
      <c r="C58" s="23">
        <f t="shared" ref="C58:P58" ca="1" si="4">C54*C56</f>
        <v>0</v>
      </c>
      <c r="D58" s="23">
        <f t="shared" si="4"/>
        <v>0</v>
      </c>
      <c r="E58" s="23">
        <f t="shared" si="4"/>
        <v>0</v>
      </c>
      <c r="F58" s="23">
        <f t="shared" si="4"/>
        <v>0</v>
      </c>
      <c r="G58" s="23">
        <f t="shared" si="4"/>
        <v>12789.473005020114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3"/>
  <sheetViews>
    <sheetView showGridLines="0" zoomScale="65" zoomScaleNormal="65" workbookViewId="0">
      <selection activeCell="A28" sqref="A28:XFD4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66056.230998585961</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61345.025261338364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N40</f>
        <v>10845.708333333334</v>
      </c>
      <c r="C8" s="534">
        <f>B60</f>
        <v>12759.610492850603</v>
      </c>
      <c r="D8" s="961"/>
      <c r="E8" s="961">
        <f>E60</f>
        <v>0</v>
      </c>
      <c r="F8" s="962"/>
      <c r="G8" s="535"/>
      <c r="H8" s="961">
        <f>I60</f>
        <v>0</v>
      </c>
      <c r="I8" s="961">
        <f>G60+F60</f>
        <v>0</v>
      </c>
      <c r="J8" s="961">
        <f>H60+D60+C60</f>
        <v>0</v>
      </c>
      <c r="K8" s="961"/>
      <c r="L8" s="961"/>
      <c r="M8" s="961"/>
      <c r="N8" s="536"/>
      <c r="O8" s="537">
        <f>C8*$C$12+D8*$D$12+E8*$E$12+F8*$F$12+G8*$G$12+H8*$H$12+I8*$I$12+J8*$J$12</f>
        <v>2577.4413195558218</v>
      </c>
      <c r="P8" s="1205"/>
      <c r="Q8" s="1206"/>
      <c r="S8" s="925"/>
      <c r="T8" s="1180"/>
      <c r="U8" s="1180"/>
    </row>
    <row r="9" spans="1:21" s="523" customFormat="1" ht="17.45" customHeight="1" thickBot="1">
      <c r="A9" s="538" t="s">
        <v>237</v>
      </c>
      <c r="B9" s="539">
        <f>N48+'Eigen informatie GS &amp; warmtenet'!B12</f>
        <v>19768.5</v>
      </c>
      <c r="C9" s="540">
        <f>P48+IF(ISERROR(('Eigen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S48+IF(ISERROR('Eigen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W48+IF(ISERROR('Eigen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(T48+U48)+IF(ISERROR('Eigen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V48+Q48+R48+IF(ISERROR('Eigen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56481.428571428572</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158015.46459325767</v>
      </c>
      <c r="C10" s="547">
        <f t="shared" ref="C10:L10" si="0">SUM(C8:C9)</f>
        <v>12759.610492850603</v>
      </c>
      <c r="D10" s="547">
        <f t="shared" si="0"/>
        <v>0</v>
      </c>
      <c r="E10" s="547">
        <f t="shared" si="0"/>
        <v>0</v>
      </c>
      <c r="F10" s="547">
        <f t="shared" si="0"/>
        <v>0</v>
      </c>
      <c r="G10" s="547">
        <f t="shared" si="0"/>
        <v>0</v>
      </c>
      <c r="H10" s="547">
        <f t="shared" si="0"/>
        <v>0</v>
      </c>
      <c r="I10" s="547">
        <f t="shared" si="0"/>
        <v>0</v>
      </c>
      <c r="J10" s="547">
        <f t="shared" si="0"/>
        <v>56481.428571428572</v>
      </c>
      <c r="K10" s="547">
        <f t="shared" si="0"/>
        <v>0</v>
      </c>
      <c r="L10" s="547">
        <f t="shared" si="0"/>
        <v>0</v>
      </c>
      <c r="M10" s="964"/>
      <c r="N10" s="964"/>
      <c r="O10" s="548">
        <f>SUM(O4:O9)</f>
        <v>2577.4413195558218</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O40</f>
        <v>15493.871782496784</v>
      </c>
      <c r="C17" s="559">
        <f>B61</f>
        <v>18228.018207278103</v>
      </c>
      <c r="D17" s="560"/>
      <c r="E17" s="560">
        <f>E61</f>
        <v>0</v>
      </c>
      <c r="F17" s="967"/>
      <c r="G17" s="561"/>
      <c r="H17" s="559">
        <f>I61</f>
        <v>0</v>
      </c>
      <c r="I17" s="560">
        <f>G61+F61</f>
        <v>0</v>
      </c>
      <c r="J17" s="560">
        <f>H61+D61+C61</f>
        <v>0</v>
      </c>
      <c r="K17" s="560"/>
      <c r="L17" s="560"/>
      <c r="M17" s="560"/>
      <c r="N17" s="968"/>
      <c r="O17" s="562">
        <f>C17*$C$22+E17*$E$22+H17*$H$22+I17*$I$22+J17*$J$22+D17*$D$22+F17*$F$22+G17*$G$22+K17*$K$22+L17*$L$22</f>
        <v>3682.059677870177</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15493.871782496784</v>
      </c>
      <c r="C20" s="546">
        <f>SUM(C17:C19)</f>
        <v>18228.018207278103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3682.059677870177</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51" hidden="1">
      <c r="A28" s="569"/>
      <c r="B28" s="724">
        <v>11002</v>
      </c>
      <c r="C28" s="724">
        <v>2018</v>
      </c>
      <c r="D28" s="617"/>
      <c r="E28" s="616"/>
      <c r="F28" s="616"/>
      <c r="G28" s="616" t="s">
        <v>887</v>
      </c>
      <c r="H28" s="616" t="s">
        <v>888</v>
      </c>
      <c r="I28" s="616"/>
      <c r="J28" s="723"/>
      <c r="K28" s="723"/>
      <c r="L28" s="616" t="s">
        <v>889</v>
      </c>
      <c r="M28" s="616">
        <v>220</v>
      </c>
      <c r="N28" s="616">
        <v>990</v>
      </c>
      <c r="O28" s="616">
        <v>1414.2857142857142</v>
      </c>
      <c r="P28" s="616">
        <v>2828.5714285714289</v>
      </c>
      <c r="Q28" s="616">
        <v>0</v>
      </c>
      <c r="R28" s="616">
        <v>0</v>
      </c>
      <c r="S28" s="616">
        <v>0</v>
      </c>
      <c r="T28" s="616">
        <v>0</v>
      </c>
      <c r="U28" s="616">
        <v>0</v>
      </c>
      <c r="V28" s="616">
        <v>0</v>
      </c>
      <c r="W28" s="616">
        <v>0</v>
      </c>
      <c r="X28" s="616"/>
      <c r="Y28" s="616">
        <v>1500</v>
      </c>
      <c r="Z28" s="616" t="s">
        <v>50</v>
      </c>
      <c r="AA28" s="618" t="s">
        <v>149</v>
      </c>
    </row>
    <row r="29" spans="1:27" s="570" customFormat="1" ht="25.5" hidden="1">
      <c r="A29" s="569"/>
      <c r="B29" s="724">
        <v>11002</v>
      </c>
      <c r="C29" s="724">
        <v>2170</v>
      </c>
      <c r="D29" s="617"/>
      <c r="E29" s="616"/>
      <c r="F29" s="616"/>
      <c r="G29" s="616" t="s">
        <v>887</v>
      </c>
      <c r="H29" s="616" t="s">
        <v>888</v>
      </c>
      <c r="I29" s="616"/>
      <c r="J29" s="723"/>
      <c r="K29" s="723"/>
      <c r="L29" s="616" t="s">
        <v>889</v>
      </c>
      <c r="M29" s="616">
        <v>806</v>
      </c>
      <c r="N29" s="616">
        <v>3627</v>
      </c>
      <c r="O29" s="616">
        <v>5181.4285714285716</v>
      </c>
      <c r="P29" s="616">
        <v>10362.857142857143</v>
      </c>
      <c r="Q29" s="616">
        <v>0</v>
      </c>
      <c r="R29" s="616">
        <v>0</v>
      </c>
      <c r="S29" s="616">
        <v>0</v>
      </c>
      <c r="T29" s="616">
        <v>0</v>
      </c>
      <c r="U29" s="616">
        <v>0</v>
      </c>
      <c r="V29" s="616">
        <v>0</v>
      </c>
      <c r="W29" s="616">
        <v>0</v>
      </c>
      <c r="X29" s="616"/>
      <c r="Y29" s="616">
        <v>500</v>
      </c>
      <c r="Z29" s="616" t="s">
        <v>40</v>
      </c>
      <c r="AA29" s="618" t="s">
        <v>376</v>
      </c>
    </row>
    <row r="30" spans="1:27" s="570" customFormat="1" ht="51" hidden="1">
      <c r="A30" s="569"/>
      <c r="B30" s="724">
        <v>11002</v>
      </c>
      <c r="C30" s="724">
        <v>2020</v>
      </c>
      <c r="D30" s="617"/>
      <c r="E30" s="616"/>
      <c r="F30" s="616"/>
      <c r="G30" s="616" t="s">
        <v>887</v>
      </c>
      <c r="H30" s="616" t="s">
        <v>888</v>
      </c>
      <c r="I30" s="616"/>
      <c r="J30" s="723"/>
      <c r="K30" s="723"/>
      <c r="L30" s="616" t="s">
        <v>889</v>
      </c>
      <c r="M30" s="616">
        <v>834</v>
      </c>
      <c r="N30" s="616">
        <v>3753</v>
      </c>
      <c r="O30" s="616">
        <v>5361.4285714285716</v>
      </c>
      <c r="P30" s="616">
        <v>10722.857142857143</v>
      </c>
      <c r="Q30" s="616">
        <v>0</v>
      </c>
      <c r="R30" s="616">
        <v>0</v>
      </c>
      <c r="S30" s="616">
        <v>0</v>
      </c>
      <c r="T30" s="616">
        <v>0</v>
      </c>
      <c r="U30" s="616">
        <v>0</v>
      </c>
      <c r="V30" s="616">
        <v>0</v>
      </c>
      <c r="W30" s="616">
        <v>0</v>
      </c>
      <c r="X30" s="616"/>
      <c r="Y30" s="616">
        <v>1500</v>
      </c>
      <c r="Z30" s="616" t="s">
        <v>50</v>
      </c>
      <c r="AA30" s="618" t="s">
        <v>149</v>
      </c>
    </row>
    <row r="31" spans="1:27" s="570" customFormat="1" ht="51" hidden="1">
      <c r="A31" s="569"/>
      <c r="B31" s="724">
        <v>11002</v>
      </c>
      <c r="C31" s="724">
        <v>2018</v>
      </c>
      <c r="D31" s="617"/>
      <c r="E31" s="616"/>
      <c r="F31" s="616"/>
      <c r="G31" s="616" t="s">
        <v>887</v>
      </c>
      <c r="H31" s="616" t="s">
        <v>888</v>
      </c>
      <c r="I31" s="616"/>
      <c r="J31" s="723"/>
      <c r="K31" s="723"/>
      <c r="L31" s="616" t="s">
        <v>889</v>
      </c>
      <c r="M31" s="616">
        <v>60</v>
      </c>
      <c r="N31" s="616">
        <v>270</v>
      </c>
      <c r="O31" s="616">
        <v>385.71428571428572</v>
      </c>
      <c r="P31" s="616">
        <v>771.42857142857144</v>
      </c>
      <c r="Q31" s="616">
        <v>0</v>
      </c>
      <c r="R31" s="616">
        <v>0</v>
      </c>
      <c r="S31" s="616">
        <v>0</v>
      </c>
      <c r="T31" s="616">
        <v>0</v>
      </c>
      <c r="U31" s="616">
        <v>0</v>
      </c>
      <c r="V31" s="616">
        <v>0</v>
      </c>
      <c r="W31" s="616">
        <v>0</v>
      </c>
      <c r="X31" s="616"/>
      <c r="Y31" s="616">
        <v>1500</v>
      </c>
      <c r="Z31" s="616" t="s">
        <v>50</v>
      </c>
      <c r="AA31" s="618" t="s">
        <v>149</v>
      </c>
    </row>
    <row r="32" spans="1:27" s="570" customFormat="1" ht="63.75" hidden="1">
      <c r="A32" s="569"/>
      <c r="B32" s="724">
        <v>11002</v>
      </c>
      <c r="C32" s="724">
        <v>2170</v>
      </c>
      <c r="D32" s="617"/>
      <c r="E32" s="616"/>
      <c r="F32" s="616"/>
      <c r="G32" s="616" t="s">
        <v>887</v>
      </c>
      <c r="H32" s="616" t="s">
        <v>888</v>
      </c>
      <c r="I32" s="616"/>
      <c r="J32" s="723"/>
      <c r="K32" s="723"/>
      <c r="L32" s="616" t="s">
        <v>889</v>
      </c>
      <c r="M32" s="616">
        <v>70</v>
      </c>
      <c r="N32" s="616">
        <v>315.00000000000006</v>
      </c>
      <c r="O32" s="616">
        <v>450.00000000000011</v>
      </c>
      <c r="P32" s="616">
        <v>900.00000000000023</v>
      </c>
      <c r="Q32" s="616">
        <v>0</v>
      </c>
      <c r="R32" s="616">
        <v>0</v>
      </c>
      <c r="S32" s="616">
        <v>0</v>
      </c>
      <c r="T32" s="616">
        <v>0</v>
      </c>
      <c r="U32" s="616">
        <v>0</v>
      </c>
      <c r="V32" s="616">
        <v>0</v>
      </c>
      <c r="W32" s="616">
        <v>0</v>
      </c>
      <c r="X32" s="616"/>
      <c r="Y32" s="616">
        <v>1600</v>
      </c>
      <c r="Z32" s="616" t="s">
        <v>49</v>
      </c>
      <c r="AA32" s="618" t="s">
        <v>149</v>
      </c>
    </row>
    <row r="33" spans="1:27" s="570" customFormat="1" ht="63.75" hidden="1">
      <c r="A33" s="569"/>
      <c r="B33" s="724">
        <v>11002</v>
      </c>
      <c r="C33" s="724">
        <v>2610</v>
      </c>
      <c r="D33" s="617"/>
      <c r="E33" s="616"/>
      <c r="F33" s="616"/>
      <c r="G33" s="616" t="s">
        <v>887</v>
      </c>
      <c r="H33" s="616" t="s">
        <v>888</v>
      </c>
      <c r="I33" s="616"/>
      <c r="J33" s="723"/>
      <c r="K33" s="723"/>
      <c r="L33" s="616" t="s">
        <v>889</v>
      </c>
      <c r="M33" s="616">
        <v>70</v>
      </c>
      <c r="N33" s="616">
        <v>315.00000000000006</v>
      </c>
      <c r="O33" s="616">
        <v>450.00000000000011</v>
      </c>
      <c r="P33" s="616">
        <v>900.00000000000023</v>
      </c>
      <c r="Q33" s="616">
        <v>0</v>
      </c>
      <c r="R33" s="616">
        <v>0</v>
      </c>
      <c r="S33" s="616">
        <v>0</v>
      </c>
      <c r="T33" s="616">
        <v>0</v>
      </c>
      <c r="U33" s="616">
        <v>0</v>
      </c>
      <c r="V33" s="616">
        <v>0</v>
      </c>
      <c r="W33" s="616">
        <v>0</v>
      </c>
      <c r="X33" s="616"/>
      <c r="Y33" s="616">
        <v>1600</v>
      </c>
      <c r="Z33" s="616" t="s">
        <v>49</v>
      </c>
      <c r="AA33" s="618" t="s">
        <v>149</v>
      </c>
    </row>
    <row r="34" spans="1:27" s="570" customFormat="1" ht="63.75" hidden="1">
      <c r="A34" s="569"/>
      <c r="B34" s="724">
        <v>11002</v>
      </c>
      <c r="C34" s="724">
        <v>2018</v>
      </c>
      <c r="D34" s="617"/>
      <c r="E34" s="616"/>
      <c r="F34" s="616"/>
      <c r="G34" s="616" t="s">
        <v>887</v>
      </c>
      <c r="H34" s="616" t="s">
        <v>888</v>
      </c>
      <c r="I34" s="616"/>
      <c r="J34" s="723"/>
      <c r="K34" s="723"/>
      <c r="L34" s="616" t="s">
        <v>889</v>
      </c>
      <c r="M34" s="616">
        <v>199</v>
      </c>
      <c r="N34" s="616">
        <v>895.5</v>
      </c>
      <c r="O34" s="616">
        <v>1279.2857142857142</v>
      </c>
      <c r="P34" s="616">
        <v>2558.5714285714289</v>
      </c>
      <c r="Q34" s="616">
        <v>0</v>
      </c>
      <c r="R34" s="616">
        <v>0</v>
      </c>
      <c r="S34" s="616">
        <v>0</v>
      </c>
      <c r="T34" s="616">
        <v>0</v>
      </c>
      <c r="U34" s="616">
        <v>0</v>
      </c>
      <c r="V34" s="616">
        <v>0</v>
      </c>
      <c r="W34" s="616">
        <v>0</v>
      </c>
      <c r="X34" s="616"/>
      <c r="Y34" s="616">
        <v>1600</v>
      </c>
      <c r="Z34" s="616" t="s">
        <v>49</v>
      </c>
      <c r="AA34" s="618" t="s">
        <v>149</v>
      </c>
    </row>
    <row r="35" spans="1:27" s="570" customFormat="1" ht="63.75" hidden="1">
      <c r="A35" s="569"/>
      <c r="B35" s="724">
        <v>11002</v>
      </c>
      <c r="C35" s="724">
        <v>2660</v>
      </c>
      <c r="D35" s="617"/>
      <c r="E35" s="616"/>
      <c r="F35" s="616"/>
      <c r="G35" s="616" t="s">
        <v>887</v>
      </c>
      <c r="H35" s="616" t="s">
        <v>888</v>
      </c>
      <c r="I35" s="616"/>
      <c r="J35" s="723"/>
      <c r="K35" s="723"/>
      <c r="L35" s="616" t="s">
        <v>890</v>
      </c>
      <c r="M35" s="616">
        <v>70</v>
      </c>
      <c r="N35" s="616">
        <v>315.00000000000006</v>
      </c>
      <c r="O35" s="616">
        <v>450.00000000000011</v>
      </c>
      <c r="P35" s="616">
        <v>900.00000000000023</v>
      </c>
      <c r="Q35" s="616">
        <v>0</v>
      </c>
      <c r="R35" s="616">
        <v>0</v>
      </c>
      <c r="S35" s="616">
        <v>0</v>
      </c>
      <c r="T35" s="616">
        <v>0</v>
      </c>
      <c r="U35" s="616">
        <v>0</v>
      </c>
      <c r="V35" s="616">
        <v>0</v>
      </c>
      <c r="W35" s="616">
        <v>0</v>
      </c>
      <c r="X35" s="616"/>
      <c r="Y35" s="616">
        <v>1600</v>
      </c>
      <c r="Z35" s="616" t="s">
        <v>49</v>
      </c>
      <c r="AA35" s="618" t="s">
        <v>149</v>
      </c>
    </row>
    <row r="36" spans="1:27" s="570" customFormat="1" ht="63.75" hidden="1">
      <c r="A36" s="569"/>
      <c r="B36" s="724">
        <v>11002</v>
      </c>
      <c r="C36" s="724">
        <v>2140</v>
      </c>
      <c r="D36" s="617"/>
      <c r="E36" s="616"/>
      <c r="F36" s="616"/>
      <c r="G36" s="616" t="s">
        <v>887</v>
      </c>
      <c r="H36" s="616" t="s">
        <v>888</v>
      </c>
      <c r="I36" s="616"/>
      <c r="J36" s="723"/>
      <c r="K36" s="723"/>
      <c r="L36" s="616" t="s">
        <v>889</v>
      </c>
      <c r="M36" s="616">
        <v>70</v>
      </c>
      <c r="N36" s="616">
        <v>315.00000000000006</v>
      </c>
      <c r="O36" s="616">
        <v>450.00000000000011</v>
      </c>
      <c r="P36" s="616">
        <v>900.00000000000023</v>
      </c>
      <c r="Q36" s="616">
        <v>0</v>
      </c>
      <c r="R36" s="616">
        <v>0</v>
      </c>
      <c r="S36" s="616">
        <v>0</v>
      </c>
      <c r="T36" s="616">
        <v>0</v>
      </c>
      <c r="U36" s="616">
        <v>0</v>
      </c>
      <c r="V36" s="616">
        <v>0</v>
      </c>
      <c r="W36" s="616">
        <v>0</v>
      </c>
      <c r="X36" s="616"/>
      <c r="Y36" s="616">
        <v>1600</v>
      </c>
      <c r="Z36" s="616" t="s">
        <v>49</v>
      </c>
      <c r="AA36" s="618" t="s">
        <v>149</v>
      </c>
    </row>
    <row r="37" spans="1:27" s="570" customFormat="1" ht="25.5" hidden="1">
      <c r="A37" s="569"/>
      <c r="B37" s="724">
        <v>11002</v>
      </c>
      <c r="C37" s="724">
        <v>2000</v>
      </c>
      <c r="D37" s="617"/>
      <c r="E37" s="616"/>
      <c r="F37" s="616"/>
      <c r="G37" s="616" t="s">
        <v>887</v>
      </c>
      <c r="H37" s="616" t="s">
        <v>888</v>
      </c>
      <c r="I37" s="616"/>
      <c r="J37" s="723"/>
      <c r="K37" s="723"/>
      <c r="L37" s="616" t="s">
        <v>890</v>
      </c>
      <c r="M37" s="616">
        <v>5.5</v>
      </c>
      <c r="N37" s="616">
        <v>24.75</v>
      </c>
      <c r="O37" s="616">
        <v>35.357142857142861</v>
      </c>
      <c r="P37" s="616">
        <v>70.714285714285722</v>
      </c>
      <c r="Q37" s="616">
        <v>0</v>
      </c>
      <c r="R37" s="616">
        <v>0</v>
      </c>
      <c r="S37" s="616">
        <v>0</v>
      </c>
      <c r="T37" s="616">
        <v>0</v>
      </c>
      <c r="U37" s="616">
        <v>0</v>
      </c>
      <c r="V37" s="616">
        <v>0</v>
      </c>
      <c r="W37" s="616">
        <v>0</v>
      </c>
      <c r="X37" s="616"/>
      <c r="Y37" s="616">
        <v>1300</v>
      </c>
      <c r="Z37" s="616" t="s">
        <v>53</v>
      </c>
      <c r="AA37" s="618" t="s">
        <v>149</v>
      </c>
    </row>
    <row r="38" spans="1:27" s="570" customFormat="1" ht="63.75" hidden="1">
      <c r="A38" s="569"/>
      <c r="B38" s="724">
        <v>11002</v>
      </c>
      <c r="C38" s="724">
        <v>2000</v>
      </c>
      <c r="D38" s="617"/>
      <c r="E38" s="616"/>
      <c r="F38" s="616"/>
      <c r="G38" s="616" t="s">
        <v>887</v>
      </c>
      <c r="H38" s="616" t="s">
        <v>888</v>
      </c>
      <c r="I38" s="616"/>
      <c r="J38" s="723"/>
      <c r="K38" s="723"/>
      <c r="L38" s="616" t="s">
        <v>889</v>
      </c>
      <c r="M38" s="616">
        <v>33</v>
      </c>
      <c r="N38" s="616">
        <v>24.75</v>
      </c>
      <c r="O38" s="616">
        <v>35.357142857142861</v>
      </c>
      <c r="P38" s="616">
        <v>70.714285714285722</v>
      </c>
      <c r="Q38" s="616">
        <v>0</v>
      </c>
      <c r="R38" s="616">
        <v>0</v>
      </c>
      <c r="S38" s="616">
        <v>0</v>
      </c>
      <c r="T38" s="616">
        <v>0</v>
      </c>
      <c r="U38" s="616">
        <v>0</v>
      </c>
      <c r="V38" s="616">
        <v>0</v>
      </c>
      <c r="W38" s="616">
        <v>0</v>
      </c>
      <c r="X38" s="616"/>
      <c r="Y38" s="616">
        <v>1600</v>
      </c>
      <c r="Z38" s="616" t="s">
        <v>49</v>
      </c>
      <c r="AA38" s="618" t="s">
        <v>149</v>
      </c>
    </row>
    <row r="39" spans="1:27" s="570" customFormat="1" ht="25.5" hidden="1">
      <c r="A39" s="569"/>
      <c r="B39" s="724">
        <v>11002</v>
      </c>
      <c r="C39" s="724">
        <v>2000</v>
      </c>
      <c r="D39" s="617"/>
      <c r="E39" s="616"/>
      <c r="F39" s="616"/>
      <c r="G39" s="616" t="s">
        <v>891</v>
      </c>
      <c r="H39" s="616" t="s">
        <v>891</v>
      </c>
      <c r="I39" s="616"/>
      <c r="J39" s="723"/>
      <c r="K39" s="723"/>
      <c r="L39" s="616" t="s">
        <v>889</v>
      </c>
      <c r="M39" s="616">
        <v>1.7</v>
      </c>
      <c r="N39" s="616">
        <v>0.70833333333333326</v>
      </c>
      <c r="O39" s="616">
        <v>1.0146396396396395</v>
      </c>
      <c r="P39" s="616">
        <v>1.9144144144144142</v>
      </c>
      <c r="Q39" s="616">
        <v>0</v>
      </c>
      <c r="R39" s="616">
        <v>0</v>
      </c>
      <c r="S39" s="616">
        <v>0</v>
      </c>
      <c r="T39" s="616">
        <v>0</v>
      </c>
      <c r="U39" s="616">
        <v>0</v>
      </c>
      <c r="V39" s="616">
        <v>0</v>
      </c>
      <c r="W39" s="616">
        <v>0</v>
      </c>
      <c r="X39" s="616"/>
      <c r="Y39" s="616">
        <v>1300</v>
      </c>
      <c r="Z39" s="616" t="s">
        <v>53</v>
      </c>
      <c r="AA39" s="618" t="s">
        <v>149</v>
      </c>
    </row>
    <row r="40" spans="1:27" s="554" customFormat="1" hidden="1">
      <c r="A40" s="572" t="s">
        <v>269</v>
      </c>
      <c r="B40" s="573"/>
      <c r="C40" s="573"/>
      <c r="D40" s="573"/>
      <c r="E40" s="573"/>
      <c r="F40" s="573"/>
      <c r="G40" s="573"/>
      <c r="H40" s="573"/>
      <c r="I40" s="573"/>
      <c r="J40" s="573"/>
      <c r="K40" s="573"/>
      <c r="L40" s="574"/>
      <c r="M40" s="574">
        <f>SUM(M28:M39)</f>
        <v>2439.1999999999998</v>
      </c>
      <c r="N40" s="574">
        <f>SUM(N28:N39)</f>
        <v>10845.708333333334</v>
      </c>
      <c r="O40" s="574">
        <f>SUM(O28:O39)</f>
        <v>15493.871782496784</v>
      </c>
      <c r="P40" s="574">
        <f>SUM(P28:P39)</f>
        <v>30987.628700128706</v>
      </c>
      <c r="Q40" s="574">
        <f>SUM(Q28:Q39)</f>
        <v>0</v>
      </c>
      <c r="R40" s="574">
        <f>SUM(R28:R39)</f>
        <v>0</v>
      </c>
      <c r="S40" s="574">
        <f>SUM(S28:S39)</f>
        <v>0</v>
      </c>
      <c r="T40" s="574">
        <f>SUM(T28:T39)</f>
        <v>0</v>
      </c>
      <c r="U40" s="574">
        <f>SUM(U28:U39)</f>
        <v>0</v>
      </c>
      <c r="V40" s="574">
        <f>SUM(V28:V39)</f>
        <v>0</v>
      </c>
      <c r="W40" s="574">
        <f>SUM(W28:W39)</f>
        <v>0</v>
      </c>
      <c r="X40" s="574"/>
      <c r="Y40" s="575"/>
      <c r="Z40" s="575"/>
      <c r="AA40" s="576"/>
    </row>
    <row r="41" spans="1:27" s="554" customFormat="1">
      <c r="A41" s="572" t="s">
        <v>276</v>
      </c>
      <c r="B41" s="573"/>
      <c r="C41" s="573"/>
      <c r="D41" s="573"/>
      <c r="E41" s="573"/>
      <c r="F41" s="573"/>
      <c r="G41" s="573"/>
      <c r="H41" s="573"/>
      <c r="I41" s="573"/>
      <c r="J41" s="573"/>
      <c r="K41" s="573"/>
      <c r="L41" s="574"/>
      <c r="M41" s="574">
        <f>SUMIF($AA$28:$AA$39,"industrie",M28:M39)</f>
        <v>806</v>
      </c>
      <c r="N41" s="574">
        <f>SUMIF($AA$28:$AA$39,"industrie",N28:N39)</f>
        <v>3627</v>
      </c>
      <c r="O41" s="574">
        <f>SUMIF($AA$28:$AA$39,"industrie",O28:O39)</f>
        <v>5181.4285714285716</v>
      </c>
      <c r="P41" s="574">
        <f>SUMIF($AA$28:$AA$39,"industrie",P28:P39)</f>
        <v>10362.857142857143</v>
      </c>
      <c r="Q41" s="574">
        <f>SUMIF($AA$28:$AA$39,"industrie",Q28:Q39)</f>
        <v>0</v>
      </c>
      <c r="R41" s="574">
        <f>SUMIF($AA$28:$AA$39,"industrie",R28:R39)</f>
        <v>0</v>
      </c>
      <c r="S41" s="574">
        <f>SUMIF($AA$28:$AA$39,"industrie",S28:S39)</f>
        <v>0</v>
      </c>
      <c r="T41" s="574">
        <f>SUMIF($AA$28:$AA$39,"industrie",T28:T39)</f>
        <v>0</v>
      </c>
      <c r="U41" s="574">
        <f>SUMIF($AA$28:$AA$39,"industrie",U28:U39)</f>
        <v>0</v>
      </c>
      <c r="V41" s="574">
        <f>SUMIF($AA$28:$AA$39,"industrie",V28:V39)</f>
        <v>0</v>
      </c>
      <c r="W41" s="574">
        <f>SUMIF($AA$28:$AA$39,"industrie",W28:W39)</f>
        <v>0</v>
      </c>
      <c r="X41" s="574"/>
      <c r="Y41" s="575"/>
      <c r="Z41" s="575"/>
      <c r="AA41" s="576"/>
    </row>
    <row r="42" spans="1:27" s="554" customFormat="1">
      <c r="A42" s="572" t="s">
        <v>277</v>
      </c>
      <c r="B42" s="573"/>
      <c r="C42" s="573"/>
      <c r="D42" s="573"/>
      <c r="E42" s="573"/>
      <c r="F42" s="573"/>
      <c r="G42" s="573"/>
      <c r="H42" s="573"/>
      <c r="I42" s="573"/>
      <c r="J42" s="573"/>
      <c r="K42" s="573"/>
      <c r="L42" s="574"/>
      <c r="M42" s="574">
        <f ca="1">SUMIF($AA$28:AD39,"tertiair",M28:M39)</f>
        <v>1633.2</v>
      </c>
      <c r="N42" s="574">
        <f ca="1">SUMIF($AA$28:AE39,"tertiair",N28:N39)</f>
        <v>7218.708333333333</v>
      </c>
      <c r="O42" s="574">
        <f ca="1">SUMIF($AA$28:AF39,"tertiair",O28:O39)</f>
        <v>10312.443211068212</v>
      </c>
      <c r="P42" s="574">
        <f ca="1">SUMIF($AA$28:AG39,"tertiair",P28:P39)</f>
        <v>20624.771557271561</v>
      </c>
      <c r="Q42" s="574">
        <f ca="1">SUMIF($AA$28:AH39,"tertiair",Q28:Q39)</f>
        <v>0</v>
      </c>
      <c r="R42" s="574">
        <f ca="1">SUMIF($AA$28:AI39,"tertiair",R28:R39)</f>
        <v>0</v>
      </c>
      <c r="S42" s="574">
        <f ca="1">SUMIF($AA$28:AJ39,"tertiair",S28:S39)</f>
        <v>0</v>
      </c>
      <c r="T42" s="574">
        <f ca="1">SUMIF($AA$28:AK39,"tertiair",T28:T39)</f>
        <v>0</v>
      </c>
      <c r="U42" s="574">
        <f ca="1">SUMIF($AA$28:AL39,"tertiair",U28:U39)</f>
        <v>0</v>
      </c>
      <c r="V42" s="574">
        <f ca="1">SUMIF($AA$28:AM39,"tertiair",V28:V39)</f>
        <v>0</v>
      </c>
      <c r="W42" s="574">
        <f ca="1">SUMIF($AA$28:AN39,"tertiair",W28:W39)</f>
        <v>0</v>
      </c>
      <c r="X42" s="574"/>
      <c r="Y42" s="575"/>
      <c r="Z42" s="575"/>
      <c r="AA42" s="576"/>
    </row>
    <row r="43" spans="1:27" s="554" customFormat="1" ht="15.75" thickBot="1">
      <c r="A43" s="577" t="s">
        <v>278</v>
      </c>
      <c r="B43" s="578"/>
      <c r="C43" s="578"/>
      <c r="D43" s="578"/>
      <c r="E43" s="578"/>
      <c r="F43" s="578"/>
      <c r="G43" s="578"/>
      <c r="H43" s="578"/>
      <c r="I43" s="578"/>
      <c r="J43" s="578"/>
      <c r="K43" s="578"/>
      <c r="L43" s="579"/>
      <c r="M43" s="579">
        <f>SUMIF($AA$28:$AA$39,"landbouw",M28:M39)</f>
        <v>0</v>
      </c>
      <c r="N43" s="579">
        <f>SUMIF($AA$28:$AA$39,"landbouw",N28:N39)</f>
        <v>0</v>
      </c>
      <c r="O43" s="579">
        <f>SUMIF($AA$28:$AA$39,"landbouw",O28:O39)</f>
        <v>0</v>
      </c>
      <c r="P43" s="579">
        <f>SUMIF($AA$28:$AA$39,"landbouw",P28:P39)</f>
        <v>0</v>
      </c>
      <c r="Q43" s="579">
        <f>SUMIF($AA$28:$AA$39,"landbouw",Q28:Q39)</f>
        <v>0</v>
      </c>
      <c r="R43" s="579">
        <f>SUMIF($AA$28:$AA$39,"landbouw",R28:R39)</f>
        <v>0</v>
      </c>
      <c r="S43" s="579">
        <f>SUMIF($AA$28:$AA$39,"landbouw",S28:S39)</f>
        <v>0</v>
      </c>
      <c r="T43" s="579">
        <f>SUMIF($AA$28:$AA$39,"landbouw",T28:T39)</f>
        <v>0</v>
      </c>
      <c r="U43" s="579">
        <f>SUMIF($AA$28:$AA$39,"landbouw",U28:U39)</f>
        <v>0</v>
      </c>
      <c r="V43" s="579">
        <f>SUMIF($AA$28:$AA$39,"landbouw",V28:V39)</f>
        <v>0</v>
      </c>
      <c r="W43" s="579">
        <f>SUMIF($AA$28:$AA$39,"landbouw",W28:W39)</f>
        <v>0</v>
      </c>
      <c r="X43" s="579"/>
      <c r="Y43" s="580"/>
      <c r="Z43" s="580"/>
      <c r="AA43" s="581"/>
    </row>
    <row r="44" spans="1:27" s="523" customFormat="1" ht="15.75" thickBot="1">
      <c r="A44" s="582"/>
      <c r="B44" s="583"/>
      <c r="C44" s="583"/>
      <c r="D44" s="583"/>
      <c r="E44" s="583"/>
      <c r="F44" s="583"/>
      <c r="G44" s="583"/>
      <c r="H44" s="583"/>
      <c r="I44" s="583"/>
      <c r="J44" s="583"/>
      <c r="K44" s="583"/>
      <c r="L44" s="566"/>
      <c r="M44" s="566"/>
      <c r="N44" s="566"/>
      <c r="O44" s="567"/>
      <c r="P44" s="567"/>
    </row>
    <row r="45" spans="1:27" s="523" customFormat="1" ht="45">
      <c r="A45" s="584" t="s">
        <v>270</v>
      </c>
      <c r="B45" s="613" t="s">
        <v>89</v>
      </c>
      <c r="C45" s="613" t="s">
        <v>90</v>
      </c>
      <c r="D45" s="613"/>
      <c r="E45" s="613"/>
      <c r="F45" s="613"/>
      <c r="G45" s="613" t="s">
        <v>91</v>
      </c>
      <c r="H45" s="613" t="s">
        <v>92</v>
      </c>
      <c r="I45" s="613"/>
      <c r="J45" s="613"/>
      <c r="K45" s="613"/>
      <c r="L45" s="613" t="s">
        <v>93</v>
      </c>
      <c r="M45" s="614" t="s">
        <v>287</v>
      </c>
      <c r="N45" s="614" t="s">
        <v>94</v>
      </c>
      <c r="O45" s="614" t="s">
        <v>95</v>
      </c>
      <c r="P45" s="614" t="s">
        <v>522</v>
      </c>
      <c r="Q45" s="614" t="s">
        <v>96</v>
      </c>
      <c r="R45" s="614" t="s">
        <v>97</v>
      </c>
      <c r="S45" s="614" t="s">
        <v>98</v>
      </c>
      <c r="T45" s="614" t="s">
        <v>99</v>
      </c>
      <c r="U45" s="614" t="s">
        <v>100</v>
      </c>
      <c r="V45" s="614" t="s">
        <v>101</v>
      </c>
      <c r="W45" s="613" t="s">
        <v>102</v>
      </c>
      <c r="X45" s="613" t="s">
        <v>886</v>
      </c>
      <c r="Y45" s="613" t="s">
        <v>288</v>
      </c>
      <c r="Z45" s="613" t="s">
        <v>103</v>
      </c>
      <c r="AA45" s="615" t="s">
        <v>289</v>
      </c>
    </row>
    <row r="46" spans="1:27" s="585" customFormat="1" ht="63.75" hidden="1">
      <c r="A46" s="571"/>
      <c r="B46" s="724">
        <v>11002</v>
      </c>
      <c r="C46" s="724">
        <v>2020</v>
      </c>
      <c r="D46" s="619"/>
      <c r="E46" s="619"/>
      <c r="F46" s="619"/>
      <c r="G46" s="619" t="s">
        <v>892</v>
      </c>
      <c r="H46" s="619" t="s">
        <v>893</v>
      </c>
      <c r="I46" s="619"/>
      <c r="J46" s="723"/>
      <c r="K46" s="723"/>
      <c r="L46" s="619" t="s">
        <v>890</v>
      </c>
      <c r="M46" s="619">
        <v>300</v>
      </c>
      <c r="N46" s="619">
        <v>1350</v>
      </c>
      <c r="O46" s="619">
        <v>0</v>
      </c>
      <c r="P46" s="619">
        <v>0</v>
      </c>
      <c r="Q46" s="619">
        <v>3857.1428571428573</v>
      </c>
      <c r="R46" s="619">
        <v>0</v>
      </c>
      <c r="S46" s="619">
        <v>0</v>
      </c>
      <c r="T46" s="619">
        <v>0</v>
      </c>
      <c r="U46" s="619">
        <v>0</v>
      </c>
      <c r="V46" s="619">
        <v>0</v>
      </c>
      <c r="W46" s="619">
        <v>0</v>
      </c>
      <c r="X46" s="619"/>
      <c r="Y46" s="619">
        <v>1600</v>
      </c>
      <c r="Z46" s="619" t="s">
        <v>49</v>
      </c>
      <c r="AA46" s="620" t="s">
        <v>149</v>
      </c>
    </row>
    <row r="47" spans="1:27" s="585" customFormat="1" ht="63.75" hidden="1">
      <c r="A47" s="571"/>
      <c r="B47" s="724">
        <v>11002</v>
      </c>
      <c r="C47" s="724">
        <v>2030</v>
      </c>
      <c r="D47" s="619"/>
      <c r="E47" s="619"/>
      <c r="F47" s="619"/>
      <c r="G47" s="619" t="s">
        <v>894</v>
      </c>
      <c r="H47" s="619" t="s">
        <v>893</v>
      </c>
      <c r="I47" s="619"/>
      <c r="J47" s="723"/>
      <c r="K47" s="723"/>
      <c r="L47" s="619" t="s">
        <v>889</v>
      </c>
      <c r="M47" s="619">
        <v>4093</v>
      </c>
      <c r="N47" s="619">
        <v>18418.5</v>
      </c>
      <c r="O47" s="619">
        <v>0</v>
      </c>
      <c r="P47" s="619">
        <v>0</v>
      </c>
      <c r="Q47" s="619">
        <v>0</v>
      </c>
      <c r="R47" s="619">
        <v>52624.285714285717</v>
      </c>
      <c r="S47" s="619">
        <v>0</v>
      </c>
      <c r="T47" s="619">
        <v>0</v>
      </c>
      <c r="U47" s="619">
        <v>0</v>
      </c>
      <c r="V47" s="619">
        <v>0</v>
      </c>
      <c r="W47" s="619">
        <v>0</v>
      </c>
      <c r="X47" s="619"/>
      <c r="Y47" s="619">
        <v>1600</v>
      </c>
      <c r="Z47" s="619" t="s">
        <v>49</v>
      </c>
      <c r="AA47" s="620" t="s">
        <v>149</v>
      </c>
    </row>
    <row r="48" spans="1:27" s="554" customFormat="1" hidden="1">
      <c r="A48" s="572" t="s">
        <v>269</v>
      </c>
      <c r="B48" s="573"/>
      <c r="C48" s="573"/>
      <c r="D48" s="573"/>
      <c r="E48" s="573"/>
      <c r="F48" s="573"/>
      <c r="G48" s="573"/>
      <c r="H48" s="573"/>
      <c r="I48" s="573"/>
      <c r="J48" s="573"/>
      <c r="K48" s="573"/>
      <c r="L48" s="574"/>
      <c r="M48" s="574">
        <f>SUM(M46:M47)</f>
        <v>4393</v>
      </c>
      <c r="N48" s="574">
        <f>SUM(N46:N47)</f>
        <v>19768.5</v>
      </c>
      <c r="O48" s="574">
        <f>SUM(O46:O47)</f>
        <v>0</v>
      </c>
      <c r="P48" s="574">
        <f>SUM(P46:P47)</f>
        <v>0</v>
      </c>
      <c r="Q48" s="574">
        <f>SUM(Q46:Q47)</f>
        <v>3857.1428571428573</v>
      </c>
      <c r="R48" s="574">
        <f>SUM(R46:R47)</f>
        <v>52624.285714285717</v>
      </c>
      <c r="S48" s="574">
        <f>SUM(S46:S47)</f>
        <v>0</v>
      </c>
      <c r="T48" s="574">
        <f>SUM(T46:T47)</f>
        <v>0</v>
      </c>
      <c r="U48" s="574">
        <f>SUM(U46:U47)</f>
        <v>0</v>
      </c>
      <c r="V48" s="574">
        <f>SUM(V46:V47)</f>
        <v>0</v>
      </c>
      <c r="W48" s="574">
        <f>SUM(W46:W47)</f>
        <v>0</v>
      </c>
      <c r="X48" s="574"/>
      <c r="Y48" s="575"/>
      <c r="Z48" s="575"/>
      <c r="AA48" s="576"/>
    </row>
    <row r="49" spans="1:28" s="554" customFormat="1">
      <c r="A49" s="572" t="s">
        <v>276</v>
      </c>
      <c r="B49" s="573"/>
      <c r="C49" s="573"/>
      <c r="D49" s="573"/>
      <c r="E49" s="573"/>
      <c r="F49" s="573"/>
      <c r="G49" s="573"/>
      <c r="H49" s="573"/>
      <c r="I49" s="573"/>
      <c r="J49" s="573"/>
      <c r="K49" s="573"/>
      <c r="L49" s="574"/>
      <c r="M49" s="574">
        <f>SUMIF($AA$46:$AA$47,"industrie",M46:M47)</f>
        <v>0</v>
      </c>
      <c r="N49" s="574">
        <f>SUMIF($AA$46:$AA$47,"industrie",N46:N47)</f>
        <v>0</v>
      </c>
      <c r="O49" s="574">
        <f>SUMIF($AA$46:$AA$47,"industrie",O46:O47)</f>
        <v>0</v>
      </c>
      <c r="P49" s="574">
        <f>SUMIF($AA$46:$AA$47,"industrie",P46:P47)</f>
        <v>0</v>
      </c>
      <c r="Q49" s="574">
        <f>SUMIF($AA$46:$AA$47,"industrie",Q46:Q47)</f>
        <v>0</v>
      </c>
      <c r="R49" s="574">
        <f>SUMIF($AA$46:$AA$47,"industrie",R46:R47)</f>
        <v>0</v>
      </c>
      <c r="S49" s="574">
        <f>SUMIF($AA$46:$AA$47,"industrie",S46:S47)</f>
        <v>0</v>
      </c>
      <c r="T49" s="574">
        <f>SUMIF($AA$46:$AA$47,"industrie",T46:T47)</f>
        <v>0</v>
      </c>
      <c r="U49" s="574">
        <f>SUMIF($AA$46:$AA$47,"industrie",U46:U47)</f>
        <v>0</v>
      </c>
      <c r="V49" s="574">
        <f>SUMIF($AA$46:$AA$47,"industrie",V46:V47)</f>
        <v>0</v>
      </c>
      <c r="W49" s="574">
        <f>SUMIF($AA$46:$AA$47,"industrie",W46:W47)</f>
        <v>0</v>
      </c>
      <c r="X49" s="574"/>
      <c r="Y49" s="575"/>
      <c r="Z49" s="575"/>
      <c r="AA49" s="576"/>
    </row>
    <row r="50" spans="1:28" s="554" customFormat="1">
      <c r="A50" s="572" t="s">
        <v>277</v>
      </c>
      <c r="B50" s="573"/>
      <c r="C50" s="573"/>
      <c r="D50" s="573"/>
      <c r="E50" s="573"/>
      <c r="F50" s="573"/>
      <c r="G50" s="573"/>
      <c r="H50" s="573"/>
      <c r="I50" s="573"/>
      <c r="J50" s="573"/>
      <c r="K50" s="573"/>
      <c r="L50" s="574"/>
      <c r="M50" s="574">
        <f>SUMIF($AA$46:$AA$48,"tertiair",M46:M48)</f>
        <v>4393</v>
      </c>
      <c r="N50" s="574">
        <f>SUMIF($AA$46:$AA$48,"tertiair",N46:N48)</f>
        <v>19768.5</v>
      </c>
      <c r="O50" s="574">
        <f>SUMIF($AA$46:$AA$48,"tertiair",O46:O48)</f>
        <v>0</v>
      </c>
      <c r="P50" s="574">
        <f>SUMIF($AA$46:$AA$48,"tertiair",P46:P48)</f>
        <v>0</v>
      </c>
      <c r="Q50" s="574">
        <f>SUMIF($AA$46:$AA$48,"tertiair",Q46:Q48)</f>
        <v>3857.1428571428573</v>
      </c>
      <c r="R50" s="574">
        <f>SUMIF($AA$46:$AA$48,"tertiair",R46:R48)</f>
        <v>52624.285714285717</v>
      </c>
      <c r="S50" s="574">
        <f>SUMIF($AA$46:$AA$48,"tertiair",S46:S48)</f>
        <v>0</v>
      </c>
      <c r="T50" s="574">
        <f>SUMIF($AA$46:$AA$48,"tertiair",T46:T48)</f>
        <v>0</v>
      </c>
      <c r="U50" s="574">
        <f>SUMIF($AA$46:$AA$48,"tertiair",U46:U48)</f>
        <v>0</v>
      </c>
      <c r="V50" s="574">
        <f>SUMIF($AA$46:$AA$48,"tertiair",V46:V48)</f>
        <v>0</v>
      </c>
      <c r="W50" s="574">
        <f>SUMIF($AA$46:$AA$48,"tertiair",W46:W48)</f>
        <v>0</v>
      </c>
      <c r="X50" s="574"/>
      <c r="Y50" s="575"/>
      <c r="Z50" s="575"/>
      <c r="AA50" s="576"/>
    </row>
    <row r="51" spans="1:28" s="554" customFormat="1" ht="15.75" thickBot="1">
      <c r="A51" s="577" t="s">
        <v>278</v>
      </c>
      <c r="B51" s="578"/>
      <c r="C51" s="578"/>
      <c r="D51" s="578"/>
      <c r="E51" s="578"/>
      <c r="F51" s="578"/>
      <c r="G51" s="578"/>
      <c r="H51" s="578"/>
      <c r="I51" s="578"/>
      <c r="J51" s="578"/>
      <c r="K51" s="578"/>
      <c r="L51" s="579"/>
      <c r="M51" s="579">
        <f>SUMIF($AA$46:$AA$49,"landbouw",M46:M49)</f>
        <v>0</v>
      </c>
      <c r="N51" s="579">
        <f>SUMIF($AA$46:$AA$49,"landbouw",N46:N49)</f>
        <v>0</v>
      </c>
      <c r="O51" s="579">
        <f>SUMIF($AA$46:$AA$49,"landbouw",O46:O49)</f>
        <v>0</v>
      </c>
      <c r="P51" s="579">
        <f>SUMIF($AA$46:$AA$49,"landbouw",P46:P49)</f>
        <v>0</v>
      </c>
      <c r="Q51" s="579">
        <f>SUMIF($AA$46:$AA$49,"landbouw",Q46:Q49)</f>
        <v>0</v>
      </c>
      <c r="R51" s="579">
        <f>SUMIF($AA$46:$AA$49,"landbouw",R46:R49)</f>
        <v>0</v>
      </c>
      <c r="S51" s="579">
        <f>SUMIF($AA$46:$AA$49,"landbouw",S46:S49)</f>
        <v>0</v>
      </c>
      <c r="T51" s="579">
        <f>SUMIF($AA$46:$AA$49,"landbouw",T46:T49)</f>
        <v>0</v>
      </c>
      <c r="U51" s="579">
        <f>SUMIF($AA$46:$AA$49,"landbouw",U46:U49)</f>
        <v>0</v>
      </c>
      <c r="V51" s="579">
        <f>SUMIF($AA$46:$AA$49,"landbouw",V46:V49)</f>
        <v>0</v>
      </c>
      <c r="W51" s="579">
        <f>SUMIF($AA$46:$AA$49,"landbouw",W46:W49)</f>
        <v>0</v>
      </c>
      <c r="X51" s="579"/>
      <c r="Y51" s="580"/>
      <c r="Z51" s="580"/>
      <c r="AA51" s="581"/>
    </row>
    <row r="52" spans="1:28" s="586" customFormat="1">
      <c r="A52" s="582"/>
      <c r="B52" s="566"/>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row>
    <row r="53" spans="1:28" s="586" customFormat="1" ht="15.75" thickBot="1">
      <c r="A53" s="582"/>
      <c r="B53" s="566"/>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row>
    <row r="54" spans="1:28">
      <c r="A54" s="587" t="s">
        <v>271</v>
      </c>
      <c r="B54" s="588"/>
      <c r="C54" s="588"/>
      <c r="D54" s="588"/>
      <c r="E54" s="588"/>
      <c r="F54" s="588"/>
      <c r="G54" s="588"/>
      <c r="H54" s="588"/>
      <c r="I54" s="589"/>
      <c r="J54" s="590"/>
      <c r="K54" s="590"/>
      <c r="L54" s="591"/>
      <c r="M54" s="591"/>
      <c r="N54" s="591"/>
      <c r="O54" s="591"/>
      <c r="P54" s="591"/>
    </row>
    <row r="55" spans="1:28">
      <c r="A55" s="593"/>
      <c r="B55" s="583"/>
      <c r="C55" s="583"/>
      <c r="D55" s="583"/>
      <c r="E55" s="583"/>
      <c r="F55" s="583"/>
      <c r="G55" s="583"/>
      <c r="H55" s="583"/>
      <c r="I55" s="594"/>
      <c r="J55" s="583"/>
      <c r="K55" s="583"/>
      <c r="L55" s="591"/>
      <c r="M55" s="591"/>
      <c r="N55" s="591"/>
      <c r="O55" s="591"/>
      <c r="P55" s="591"/>
    </row>
    <row r="56" spans="1:28">
      <c r="A56" s="595"/>
      <c r="B56" s="596" t="s">
        <v>272</v>
      </c>
      <c r="C56" s="596" t="s">
        <v>273</v>
      </c>
      <c r="D56" s="596"/>
      <c r="E56" s="596"/>
      <c r="F56" s="596"/>
      <c r="G56" s="596"/>
      <c r="H56" s="596"/>
      <c r="I56" s="597"/>
      <c r="J56" s="596"/>
      <c r="K56" s="596"/>
      <c r="L56" s="596"/>
      <c r="M56" s="596"/>
      <c r="N56" s="596"/>
      <c r="O56" s="596"/>
      <c r="P56" s="591"/>
    </row>
    <row r="57" spans="1:28">
      <c r="A57" s="593" t="s">
        <v>269</v>
      </c>
      <c r="B57" s="598">
        <f>IF(ISERROR(O40/(O40+N40)),0,O40/(O40+N40))</f>
        <v>0.58823533687178819</v>
      </c>
      <c r="C57" s="599">
        <f>IF(ISERROR(N40/(O40+N40)),0,N40/(N40+O40))</f>
        <v>0.41176466312821175</v>
      </c>
      <c r="D57" s="566"/>
      <c r="E57" s="566"/>
      <c r="F57" s="566"/>
      <c r="G57" s="566"/>
      <c r="H57" s="566"/>
      <c r="I57" s="600"/>
      <c r="J57" s="566"/>
      <c r="K57" s="566"/>
      <c r="L57" s="601"/>
      <c r="M57" s="601"/>
      <c r="N57" s="601"/>
      <c r="O57" s="601"/>
      <c r="P57" s="591"/>
    </row>
    <row r="58" spans="1:28">
      <c r="A58" s="593"/>
      <c r="B58" s="602"/>
      <c r="C58" s="602"/>
      <c r="D58" s="602"/>
      <c r="E58" s="602"/>
      <c r="F58" s="602"/>
      <c r="G58" s="602"/>
      <c r="H58" s="602"/>
      <c r="I58" s="603"/>
      <c r="J58" s="602"/>
      <c r="K58" s="602"/>
      <c r="L58" s="604"/>
      <c r="M58" s="604"/>
      <c r="N58" s="604"/>
      <c r="O58" s="604"/>
      <c r="P58" s="591"/>
    </row>
    <row r="59" spans="1:28" ht="30">
      <c r="A59" s="605"/>
      <c r="B59" s="606" t="s">
        <v>522</v>
      </c>
      <c r="C59" s="606" t="s">
        <v>96</v>
      </c>
      <c r="D59" s="606" t="s">
        <v>97</v>
      </c>
      <c r="E59" s="606" t="s">
        <v>98</v>
      </c>
      <c r="F59" s="606" t="s">
        <v>99</v>
      </c>
      <c r="G59" s="606" t="s">
        <v>100</v>
      </c>
      <c r="H59" s="606" t="s">
        <v>101</v>
      </c>
      <c r="I59" s="607" t="s">
        <v>102</v>
      </c>
      <c r="J59" s="596"/>
      <c r="K59" s="596"/>
      <c r="L59" s="604"/>
      <c r="M59" s="604"/>
      <c r="N59" s="604"/>
      <c r="O59" s="591"/>
      <c r="P59" s="591"/>
    </row>
    <row r="60" spans="1:28">
      <c r="A60" s="595" t="s">
        <v>274</v>
      </c>
      <c r="B60" s="608">
        <f t="shared" ref="B60:I60" si="2">$C$57*P40</f>
        <v>12759.610492850603</v>
      </c>
      <c r="C60" s="608">
        <f t="shared" si="2"/>
        <v>0</v>
      </c>
      <c r="D60" s="608">
        <f t="shared" si="2"/>
        <v>0</v>
      </c>
      <c r="E60" s="608">
        <f t="shared" si="2"/>
        <v>0</v>
      </c>
      <c r="F60" s="608">
        <f t="shared" si="2"/>
        <v>0</v>
      </c>
      <c r="G60" s="608">
        <f t="shared" si="2"/>
        <v>0</v>
      </c>
      <c r="H60" s="608">
        <f t="shared" si="2"/>
        <v>0</v>
      </c>
      <c r="I60" s="609">
        <f t="shared" si="2"/>
        <v>0</v>
      </c>
      <c r="J60" s="566"/>
      <c r="K60" s="566"/>
      <c r="L60" s="604"/>
      <c r="M60" s="604"/>
      <c r="N60" s="604"/>
      <c r="O60" s="591"/>
      <c r="P60" s="591"/>
    </row>
    <row r="61" spans="1:28" ht="15.75" thickBot="1">
      <c r="A61" s="610" t="s">
        <v>275</v>
      </c>
      <c r="B61" s="611">
        <f t="shared" ref="B61:I61" si="3">$B$57*P40</f>
        <v>18228.018207278103</v>
      </c>
      <c r="C61" s="611">
        <f t="shared" si="3"/>
        <v>0</v>
      </c>
      <c r="D61" s="611">
        <f t="shared" si="3"/>
        <v>0</v>
      </c>
      <c r="E61" s="611">
        <f t="shared" si="3"/>
        <v>0</v>
      </c>
      <c r="F61" s="611">
        <f t="shared" si="3"/>
        <v>0</v>
      </c>
      <c r="G61" s="611">
        <f t="shared" si="3"/>
        <v>0</v>
      </c>
      <c r="H61" s="611">
        <f t="shared" si="3"/>
        <v>0</v>
      </c>
      <c r="I61" s="612">
        <f t="shared" si="3"/>
        <v>0</v>
      </c>
      <c r="J61" s="566"/>
      <c r="K61" s="566"/>
      <c r="L61" s="604"/>
      <c r="M61" s="604"/>
      <c r="N61" s="604"/>
      <c r="O61" s="591"/>
      <c r="P61" s="591"/>
    </row>
    <row r="62" spans="1:28">
      <c r="J62" s="552"/>
      <c r="K62" s="552"/>
      <c r="L62" s="552"/>
      <c r="M62" s="552"/>
      <c r="N62" s="552"/>
    </row>
    <row r="63" spans="1:28">
      <c r="J63" s="552"/>
      <c r="K63" s="552"/>
      <c r="L63" s="552"/>
      <c r="M63" s="552"/>
      <c r="N63"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1212397.7845413331</v>
      </c>
      <c r="D10" s="930">
        <f ca="1">tertiair!C16</f>
        <v>10312.443211068212</v>
      </c>
      <c r="E10" s="930">
        <f ca="1">tertiair!D16</f>
        <v>1499053.8640455268</v>
      </c>
      <c r="F10" s="930">
        <f>tertiair!E16</f>
        <v>11593.965755274023</v>
      </c>
      <c r="G10" s="930">
        <f ca="1">tertiair!F16</f>
        <v>208981.46928615373</v>
      </c>
      <c r="H10" s="930">
        <f>tertiair!G16</f>
        <v>0</v>
      </c>
      <c r="I10" s="930">
        <f>tertiair!H16</f>
        <v>0</v>
      </c>
      <c r="J10" s="930">
        <f>tertiair!I16</f>
        <v>0</v>
      </c>
      <c r="K10" s="930">
        <f>tertiair!J16</f>
        <v>1.0181707072503587</v>
      </c>
      <c r="L10" s="930">
        <f>tertiair!K16</f>
        <v>0</v>
      </c>
      <c r="M10" s="930">
        <f ca="1">tertiair!L16</f>
        <v>0</v>
      </c>
      <c r="N10" s="930">
        <f>tertiair!M16</f>
        <v>0</v>
      </c>
      <c r="O10" s="930">
        <f ca="1">tertiair!N16</f>
        <v>0</v>
      </c>
      <c r="P10" s="930">
        <f>tertiair!O16</f>
        <v>21.88666666666667</v>
      </c>
      <c r="Q10" s="931">
        <f>tertiair!P16</f>
        <v>838.93333333333339</v>
      </c>
      <c r="R10" s="628">
        <f ca="1">SUM(C10:Q10)</f>
        <v>2943201.3650100632</v>
      </c>
      <c r="S10" s="67"/>
    </row>
    <row r="11" spans="1:19" s="437" customFormat="1">
      <c r="A11" s="736" t="s">
        <v>214</v>
      </c>
      <c r="B11" s="741"/>
      <c r="C11" s="930">
        <f>huishoudens!B8</f>
        <v>652904.01828684309</v>
      </c>
      <c r="D11" s="930">
        <f>huishoudens!C8</f>
        <v>0</v>
      </c>
      <c r="E11" s="930">
        <f>huishoudens!D8</f>
        <v>2017721.0430813292</v>
      </c>
      <c r="F11" s="930">
        <f>huishoudens!E8</f>
        <v>33974.749739213526</v>
      </c>
      <c r="G11" s="930">
        <f>huishoudens!F8</f>
        <v>923706.19675301155</v>
      </c>
      <c r="H11" s="930">
        <f>huishoudens!G8</f>
        <v>0</v>
      </c>
      <c r="I11" s="930">
        <f>huishoudens!H8</f>
        <v>0</v>
      </c>
      <c r="J11" s="930">
        <f>huishoudens!I8</f>
        <v>0</v>
      </c>
      <c r="K11" s="930">
        <f>huishoudens!J8</f>
        <v>17034.792122602503</v>
      </c>
      <c r="L11" s="930">
        <f>huishoudens!K8</f>
        <v>0</v>
      </c>
      <c r="M11" s="930">
        <f>huishoudens!L8</f>
        <v>0</v>
      </c>
      <c r="N11" s="930">
        <f>huishoudens!M8</f>
        <v>0</v>
      </c>
      <c r="O11" s="930">
        <f>huishoudens!N8</f>
        <v>295596.04853913235</v>
      </c>
      <c r="P11" s="930">
        <f>huishoudens!O8</f>
        <v>1142.7966666666669</v>
      </c>
      <c r="Q11" s="931">
        <f>huishoudens!P8</f>
        <v>1315.6</v>
      </c>
      <c r="R11" s="628">
        <f>SUM(C11:Q11)</f>
        <v>3943395.2451887988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304319.52460960002</v>
      </c>
      <c r="D13" s="930">
        <f>industrie!C18</f>
        <v>5181.4285714285716</v>
      </c>
      <c r="E13" s="930">
        <f>industrie!D18</f>
        <v>295775.45279221737</v>
      </c>
      <c r="F13" s="930">
        <f>industrie!E18</f>
        <v>20283.51302877054</v>
      </c>
      <c r="G13" s="930">
        <f>industrie!F18</f>
        <v>115547.27390064413</v>
      </c>
      <c r="H13" s="930">
        <f>industrie!G18</f>
        <v>0</v>
      </c>
      <c r="I13" s="930">
        <f>industrie!H18</f>
        <v>0</v>
      </c>
      <c r="J13" s="930">
        <f>industrie!I18</f>
        <v>0</v>
      </c>
      <c r="K13" s="930">
        <f>industrie!J18</f>
        <v>1163.9834965321211</v>
      </c>
      <c r="L13" s="930">
        <f>industrie!K18</f>
        <v>0</v>
      </c>
      <c r="M13" s="930">
        <f>industrie!L18</f>
        <v>0</v>
      </c>
      <c r="N13" s="930">
        <f>industrie!M18</f>
        <v>0</v>
      </c>
      <c r="O13" s="930">
        <f>industrie!N18</f>
        <v>39092.05254492972</v>
      </c>
      <c r="P13" s="930">
        <f>industrie!O18</f>
        <v>0</v>
      </c>
      <c r="Q13" s="931">
        <f>industrie!P18</f>
        <v>0</v>
      </c>
      <c r="R13" s="628">
        <f>SUM(C13:Q13)</f>
        <v>781363.22894412244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2169621.3274377761</v>
      </c>
      <c r="D16" s="660">
        <f t="shared" ref="D16:R16" ca="1" si="0">SUM(D9:D15)</f>
        <v>15493.871782496783</v>
      </c>
      <c r="E16" s="660">
        <f t="shared" ca="1" si="0"/>
        <v>3812550.3599190735</v>
      </c>
      <c r="F16" s="660">
        <f t="shared" si="0"/>
        <v>65852.228523258091</v>
      </c>
      <c r="G16" s="660">
        <f t="shared" ca="1" si="0"/>
        <v>1248234.9399398095</v>
      </c>
      <c r="H16" s="660">
        <f t="shared" si="0"/>
        <v>0</v>
      </c>
      <c r="I16" s="660">
        <f t="shared" si="0"/>
        <v>0</v>
      </c>
      <c r="J16" s="660">
        <f t="shared" si="0"/>
        <v>0</v>
      </c>
      <c r="K16" s="660">
        <f t="shared" si="0"/>
        <v>18199.793789841875</v>
      </c>
      <c r="L16" s="660">
        <f t="shared" si="0"/>
        <v>0</v>
      </c>
      <c r="M16" s="660">
        <f t="shared" ca="1" si="0"/>
        <v>0</v>
      </c>
      <c r="N16" s="660">
        <f t="shared" si="0"/>
        <v>0</v>
      </c>
      <c r="O16" s="660">
        <f t="shared" ca="1" si="0"/>
        <v>334688.10108406207</v>
      </c>
      <c r="P16" s="660">
        <f t="shared" si="0"/>
        <v>1164.6833333333336</v>
      </c>
      <c r="Q16" s="660">
        <f t="shared" si="0"/>
        <v>2154.5333333333333</v>
      </c>
      <c r="R16" s="660">
        <f t="shared" ca="1" si="0"/>
        <v>7667959.8391429847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34408.070006672555</v>
      </c>
      <c r="D19" s="930">
        <f>transport!C54</f>
        <v>0</v>
      </c>
      <c r="E19" s="930">
        <f>transport!D54</f>
        <v>0</v>
      </c>
      <c r="F19" s="930">
        <f>transport!E54</f>
        <v>0</v>
      </c>
      <c r="G19" s="930">
        <f>transport!F54</f>
        <v>0</v>
      </c>
      <c r="H19" s="930">
        <f>transport!G54</f>
        <v>47900.647958876827</v>
      </c>
      <c r="I19" s="930">
        <f>transport!H54</f>
        <v>0</v>
      </c>
      <c r="J19" s="930">
        <f>transport!I54</f>
        <v>0</v>
      </c>
      <c r="K19" s="930">
        <f>transport!J54</f>
        <v>0</v>
      </c>
      <c r="L19" s="930">
        <f>transport!K54</f>
        <v>0</v>
      </c>
      <c r="M19" s="930">
        <f>transport!L54</f>
        <v>0</v>
      </c>
      <c r="N19" s="930">
        <f>transport!M54</f>
        <v>1495.2726317984486</v>
      </c>
      <c r="O19" s="930">
        <f>transport!N54</f>
        <v>0</v>
      </c>
      <c r="P19" s="930">
        <f>transport!O54</f>
        <v>0</v>
      </c>
      <c r="Q19" s="931">
        <f>transport!P54</f>
        <v>0</v>
      </c>
      <c r="R19" s="628">
        <f>SUM(C19:Q19)</f>
        <v>83803.990597347831</v>
      </c>
      <c r="S19" s="67"/>
    </row>
    <row r="20" spans="1:19" s="437" customFormat="1">
      <c r="A20" s="736" t="s">
        <v>296</v>
      </c>
      <c r="B20" s="741"/>
      <c r="C20" s="930">
        <f>transport!B14</f>
        <v>786.57934235597827</v>
      </c>
      <c r="D20" s="930">
        <f>transport!C14</f>
        <v>0</v>
      </c>
      <c r="E20" s="930">
        <f>transport!D14</f>
        <v>1176.5286170800359</v>
      </c>
      <c r="F20" s="930">
        <f>transport!E14</f>
        <v>5968.4595873446697</v>
      </c>
      <c r="G20" s="930">
        <f>transport!F14</f>
        <v>0</v>
      </c>
      <c r="H20" s="930">
        <f>transport!G14</f>
        <v>2498839.4941094834</v>
      </c>
      <c r="I20" s="930">
        <f>transport!H14</f>
        <v>417327.87520722183</v>
      </c>
      <c r="J20" s="930">
        <f>transport!I14</f>
        <v>0</v>
      </c>
      <c r="K20" s="930">
        <f>transport!J14</f>
        <v>0</v>
      </c>
      <c r="L20" s="930">
        <f>transport!K14</f>
        <v>0</v>
      </c>
      <c r="M20" s="930">
        <f>transport!L14</f>
        <v>0</v>
      </c>
      <c r="N20" s="930">
        <f>transport!M14</f>
        <v>91120.5097637086</v>
      </c>
      <c r="O20" s="930">
        <f>transport!N14</f>
        <v>0</v>
      </c>
      <c r="P20" s="930">
        <f>transport!O14</f>
        <v>0</v>
      </c>
      <c r="Q20" s="931">
        <f>transport!P14</f>
        <v>0</v>
      </c>
      <c r="R20" s="628">
        <f>SUM(C20:Q20)</f>
        <v>3015219.4466271945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35194.649349028536</v>
      </c>
      <c r="D22" s="739">
        <f t="shared" ref="D22:R22" si="1">SUM(D18:D21)</f>
        <v>0</v>
      </c>
      <c r="E22" s="739">
        <f t="shared" si="1"/>
        <v>1176.5286170800359</v>
      </c>
      <c r="F22" s="739">
        <f t="shared" si="1"/>
        <v>5968.4595873446697</v>
      </c>
      <c r="G22" s="739">
        <f t="shared" si="1"/>
        <v>0</v>
      </c>
      <c r="H22" s="739">
        <f t="shared" si="1"/>
        <v>2546740.1420683605</v>
      </c>
      <c r="I22" s="739">
        <f t="shared" si="1"/>
        <v>417327.87520722183</v>
      </c>
      <c r="J22" s="739">
        <f t="shared" si="1"/>
        <v>0</v>
      </c>
      <c r="K22" s="739">
        <f t="shared" si="1"/>
        <v>0</v>
      </c>
      <c r="L22" s="739">
        <f t="shared" si="1"/>
        <v>0</v>
      </c>
      <c r="M22" s="739">
        <f t="shared" si="1"/>
        <v>0</v>
      </c>
      <c r="N22" s="739">
        <f t="shared" si="1"/>
        <v>92615.782395507049</v>
      </c>
      <c r="O22" s="739">
        <f t="shared" si="1"/>
        <v>0</v>
      </c>
      <c r="P22" s="739">
        <f t="shared" si="1"/>
        <v>0</v>
      </c>
      <c r="Q22" s="739">
        <f t="shared" si="1"/>
        <v>0</v>
      </c>
      <c r="R22" s="739">
        <f t="shared" si="1"/>
        <v>3099023.4372245423</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23593.411825439998</v>
      </c>
      <c r="D24" s="930">
        <f>+landbouw!C8</f>
        <v>0</v>
      </c>
      <c r="E24" s="930">
        <f>+landbouw!D8</f>
        <v>20444.998813521259</v>
      </c>
      <c r="F24" s="930">
        <f>+landbouw!E8</f>
        <v>467.40577876938687</v>
      </c>
      <c r="G24" s="930">
        <f>+landbouw!F8</f>
        <v>86038.518600875439</v>
      </c>
      <c r="H24" s="930">
        <f>+landbouw!G8</f>
        <v>0</v>
      </c>
      <c r="I24" s="930">
        <f>+landbouw!H8</f>
        <v>0</v>
      </c>
      <c r="J24" s="930">
        <f>+landbouw!I8</f>
        <v>0</v>
      </c>
      <c r="K24" s="930">
        <f>+landbouw!J8</f>
        <v>5602.0265244216589</v>
      </c>
      <c r="L24" s="930">
        <f>+landbouw!K8</f>
        <v>0</v>
      </c>
      <c r="M24" s="930">
        <f>+landbouw!L8</f>
        <v>0</v>
      </c>
      <c r="N24" s="930">
        <f>+landbouw!M8</f>
        <v>0</v>
      </c>
      <c r="O24" s="930">
        <f>+landbouw!N8</f>
        <v>0</v>
      </c>
      <c r="P24" s="930">
        <f>+landbouw!O8</f>
        <v>0</v>
      </c>
      <c r="Q24" s="931">
        <f>+landbouw!P8</f>
        <v>0</v>
      </c>
      <c r="R24" s="628">
        <f>SUM(C24:Q24)</f>
        <v>136146.36154302774</v>
      </c>
      <c r="S24" s="67"/>
    </row>
    <row r="25" spans="1:19" s="437" customFormat="1" ht="15" thickBot="1">
      <c r="A25" s="758" t="s">
        <v>788</v>
      </c>
      <c r="B25" s="933"/>
      <c r="C25" s="934">
        <f>IF(Onbekend_ele_kWh="---",0,Onbekend_ele_kWh)/1000+IF(REST_rest_ele_kWh="---",0,REST_rest_ele_kWh)/1000</f>
        <v>45089.100030000001</v>
      </c>
      <c r="D25" s="934"/>
      <c r="E25" s="934">
        <f>IF(onbekend_gas_kWh="---",0,onbekend_gas_kWh)/1000+IF(REST_rest_gas_kWh="---",0,REST_rest_gas_kWh)/1000</f>
        <v>149659.9173</v>
      </c>
      <c r="F25" s="934"/>
      <c r="G25" s="934"/>
      <c r="H25" s="934"/>
      <c r="I25" s="934"/>
      <c r="J25" s="934"/>
      <c r="K25" s="934"/>
      <c r="L25" s="934"/>
      <c r="M25" s="934"/>
      <c r="N25" s="934"/>
      <c r="O25" s="934"/>
      <c r="P25" s="934"/>
      <c r="Q25" s="935"/>
      <c r="R25" s="628">
        <f>SUM(C25:Q25)</f>
        <v>194749.01733</v>
      </c>
      <c r="S25" s="67"/>
    </row>
    <row r="26" spans="1:19" s="437" customFormat="1" ht="15.75" thickBot="1">
      <c r="A26" s="633" t="s">
        <v>789</v>
      </c>
      <c r="B26" s="744"/>
      <c r="C26" s="739">
        <f>SUM(C24:C25)</f>
        <v>68682.511855439996</v>
      </c>
      <c r="D26" s="739">
        <f t="shared" ref="D26:R26" si="2">SUM(D24:D25)</f>
        <v>0</v>
      </c>
      <c r="E26" s="739">
        <f t="shared" si="2"/>
        <v>170104.91611352126</v>
      </c>
      <c r="F26" s="739">
        <f t="shared" si="2"/>
        <v>467.40577876938687</v>
      </c>
      <c r="G26" s="739">
        <f t="shared" si="2"/>
        <v>86038.518600875439</v>
      </c>
      <c r="H26" s="739">
        <f t="shared" si="2"/>
        <v>0</v>
      </c>
      <c r="I26" s="739">
        <f t="shared" si="2"/>
        <v>0</v>
      </c>
      <c r="J26" s="739">
        <f t="shared" si="2"/>
        <v>0</v>
      </c>
      <c r="K26" s="739">
        <f t="shared" si="2"/>
        <v>5602.0265244216589</v>
      </c>
      <c r="L26" s="739">
        <f t="shared" si="2"/>
        <v>0</v>
      </c>
      <c r="M26" s="739">
        <f t="shared" si="2"/>
        <v>0</v>
      </c>
      <c r="N26" s="739">
        <f t="shared" si="2"/>
        <v>0</v>
      </c>
      <c r="O26" s="739">
        <f t="shared" si="2"/>
        <v>0</v>
      </c>
      <c r="P26" s="739">
        <f t="shared" si="2"/>
        <v>0</v>
      </c>
      <c r="Q26" s="739">
        <f t="shared" si="2"/>
        <v>0</v>
      </c>
      <c r="R26" s="739">
        <f t="shared" si="2"/>
        <v>330895.37887302774</v>
      </c>
      <c r="S26" s="67"/>
    </row>
    <row r="27" spans="1:19" s="437" customFormat="1" ht="17.25" thickTop="1" thickBot="1">
      <c r="A27" s="634" t="s">
        <v>109</v>
      </c>
      <c r="B27" s="732"/>
      <c r="C27" s="635">
        <f ca="1">C22+C16+C26</f>
        <v>2273498.4886422451</v>
      </c>
      <c r="D27" s="635">
        <f t="shared" ref="D27:R27" ca="1" si="3">D22+D16+D26</f>
        <v>15493.871782496783</v>
      </c>
      <c r="E27" s="635">
        <f t="shared" ca="1" si="3"/>
        <v>3983831.8046496748</v>
      </c>
      <c r="F27" s="635">
        <f t="shared" si="3"/>
        <v>72288.093889372147</v>
      </c>
      <c r="G27" s="635">
        <f t="shared" ca="1" si="3"/>
        <v>1334273.458540685</v>
      </c>
      <c r="H27" s="635">
        <f t="shared" si="3"/>
        <v>2546740.1420683605</v>
      </c>
      <c r="I27" s="635">
        <f t="shared" si="3"/>
        <v>417327.87520722183</v>
      </c>
      <c r="J27" s="635">
        <f t="shared" si="3"/>
        <v>0</v>
      </c>
      <c r="K27" s="635">
        <f t="shared" si="3"/>
        <v>23801.820314263532</v>
      </c>
      <c r="L27" s="635">
        <f t="shared" si="3"/>
        <v>0</v>
      </c>
      <c r="M27" s="635">
        <f t="shared" ca="1" si="3"/>
        <v>0</v>
      </c>
      <c r="N27" s="635">
        <f t="shared" si="3"/>
        <v>92615.782395507049</v>
      </c>
      <c r="O27" s="635">
        <f t="shared" ca="1" si="3"/>
        <v>334688.10108406207</v>
      </c>
      <c r="P27" s="635">
        <f t="shared" si="3"/>
        <v>1164.6833333333336</v>
      </c>
      <c r="Q27" s="635">
        <f t="shared" si="3"/>
        <v>2154.5333333333333</v>
      </c>
      <c r="R27" s="635">
        <f t="shared" ca="1" si="3"/>
        <v>11097878.655240554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250691.70658115487</v>
      </c>
      <c r="D40" s="930">
        <f ca="1">tertiair!C20</f>
        <v>2450.7128922220509</v>
      </c>
      <c r="E40" s="930">
        <f ca="1">tertiair!D20</f>
        <v>302808.88053719641</v>
      </c>
      <c r="F40" s="930">
        <f>tertiair!E20</f>
        <v>2631.8302264472031</v>
      </c>
      <c r="G40" s="930">
        <f ca="1">tertiair!F20</f>
        <v>55798.052299403047</v>
      </c>
      <c r="H40" s="930">
        <f>tertiair!G20</f>
        <v>0</v>
      </c>
      <c r="I40" s="930">
        <f>tertiair!H20</f>
        <v>0</v>
      </c>
      <c r="J40" s="930">
        <f>tertiair!I20</f>
        <v>0</v>
      </c>
      <c r="K40" s="930">
        <f>tertiair!J20</f>
        <v>0.36043243036662698</v>
      </c>
      <c r="L40" s="930">
        <f>tertiair!K20</f>
        <v>0</v>
      </c>
      <c r="M40" s="930">
        <f ca="1">tertiair!L20</f>
        <v>0</v>
      </c>
      <c r="N40" s="930">
        <f>tertiair!M20</f>
        <v>0</v>
      </c>
      <c r="O40" s="930">
        <f ca="1">tertiair!N20</f>
        <v>0</v>
      </c>
      <c r="P40" s="930">
        <f>tertiair!O20</f>
        <v>0</v>
      </c>
      <c r="Q40" s="702">
        <f>tertiair!P20</f>
        <v>0</v>
      </c>
      <c r="R40" s="777">
        <f t="shared" ca="1" si="4"/>
        <v>614381.54296885396</v>
      </c>
    </row>
    <row r="41" spans="1:18">
      <c r="A41" s="749" t="s">
        <v>214</v>
      </c>
      <c r="B41" s="756"/>
      <c r="C41" s="930">
        <f ca="1">huishoudens!B12</f>
        <v>135003.23463552332</v>
      </c>
      <c r="D41" s="930">
        <f ca="1">huishoudens!C12</f>
        <v>0</v>
      </c>
      <c r="E41" s="930">
        <f>huishoudens!D12</f>
        <v>407579.65070242854</v>
      </c>
      <c r="F41" s="930">
        <f>huishoudens!E12</f>
        <v>7712.2681908014711</v>
      </c>
      <c r="G41" s="930">
        <f>huishoudens!F12</f>
        <v>246629.55453305409</v>
      </c>
      <c r="H41" s="930">
        <f>huishoudens!G12</f>
        <v>0</v>
      </c>
      <c r="I41" s="930">
        <f>huishoudens!H12</f>
        <v>0</v>
      </c>
      <c r="J41" s="930">
        <f>huishoudens!I12</f>
        <v>0</v>
      </c>
      <c r="K41" s="930">
        <f>huishoudens!J12</f>
        <v>6030.3164114012852</v>
      </c>
      <c r="L41" s="930">
        <f>huishoudens!K12</f>
        <v>0</v>
      </c>
      <c r="M41" s="930">
        <f>huishoudens!L12</f>
        <v>0</v>
      </c>
      <c r="N41" s="930">
        <f>huishoudens!M12</f>
        <v>0</v>
      </c>
      <c r="O41" s="930">
        <f>huishoudens!N12</f>
        <v>0</v>
      </c>
      <c r="P41" s="930">
        <f>huishoudens!O12</f>
        <v>0</v>
      </c>
      <c r="Q41" s="702">
        <f>huishoudens!P12</f>
        <v>0</v>
      </c>
      <c r="R41" s="777">
        <f t="shared" ca="1" si="4"/>
        <v>802955.0244732087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62925.206514797537</v>
      </c>
      <c r="D43" s="930">
        <f ca="1">industrie!C22</f>
        <v>1231.3467856481261</v>
      </c>
      <c r="E43" s="930">
        <f>industrie!D22</f>
        <v>59746.641464027911</v>
      </c>
      <c r="F43" s="930">
        <f>industrie!E22</f>
        <v>4604.3574575309131</v>
      </c>
      <c r="G43" s="930">
        <f>industrie!F22</f>
        <v>30851.122131471984</v>
      </c>
      <c r="H43" s="930">
        <f>industrie!G22</f>
        <v>0</v>
      </c>
      <c r="I43" s="930">
        <f>industrie!H22</f>
        <v>0</v>
      </c>
      <c r="J43" s="930">
        <f>industrie!I22</f>
        <v>0</v>
      </c>
      <c r="K43" s="930">
        <f>industrie!J22</f>
        <v>412.05015777237082</v>
      </c>
      <c r="L43" s="930">
        <f>industrie!K22</f>
        <v>0</v>
      </c>
      <c r="M43" s="930">
        <f>industrie!L22</f>
        <v>0</v>
      </c>
      <c r="N43" s="930">
        <f>industrie!M22</f>
        <v>0</v>
      </c>
      <c r="O43" s="930">
        <f>industrie!N22</f>
        <v>0</v>
      </c>
      <c r="P43" s="930">
        <f>industrie!O22</f>
        <v>0</v>
      </c>
      <c r="Q43" s="702">
        <f>industrie!P22</f>
        <v>0</v>
      </c>
      <c r="R43" s="776">
        <f t="shared" ca="1" si="4"/>
        <v>159770.72451124885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448620.14773147571</v>
      </c>
      <c r="D46" s="660">
        <f t="shared" ref="D46:Q46" ca="1" si="5">SUM(D39:D45)</f>
        <v>3682.059677870177</v>
      </c>
      <c r="E46" s="660">
        <f t="shared" ca="1" si="5"/>
        <v>770135.17270365288</v>
      </c>
      <c r="F46" s="660">
        <f t="shared" si="5"/>
        <v>14948.455874779589</v>
      </c>
      <c r="G46" s="660">
        <f t="shared" ca="1" si="5"/>
        <v>333278.72896392911</v>
      </c>
      <c r="H46" s="660">
        <f t="shared" si="5"/>
        <v>0</v>
      </c>
      <c r="I46" s="660">
        <f t="shared" si="5"/>
        <v>0</v>
      </c>
      <c r="J46" s="660">
        <f t="shared" si="5"/>
        <v>0</v>
      </c>
      <c r="K46" s="660">
        <f t="shared" si="5"/>
        <v>6442.7270016040229</v>
      </c>
      <c r="L46" s="660">
        <f t="shared" si="5"/>
        <v>0</v>
      </c>
      <c r="M46" s="660">
        <f t="shared" ca="1" si="5"/>
        <v>0</v>
      </c>
      <c r="N46" s="660">
        <f t="shared" si="5"/>
        <v>0</v>
      </c>
      <c r="O46" s="660">
        <f t="shared" ca="1" si="5"/>
        <v>0</v>
      </c>
      <c r="P46" s="660">
        <f t="shared" si="5"/>
        <v>0</v>
      </c>
      <c r="Q46" s="660">
        <f t="shared" si="5"/>
        <v>0</v>
      </c>
      <c r="R46" s="660">
        <f ca="1">SUM(R39:R45)</f>
        <v>1577107.2919533115</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7114.6763051863036</v>
      </c>
      <c r="D49" s="930">
        <f ca="1">transport!C58</f>
        <v>0</v>
      </c>
      <c r="E49" s="930">
        <f>transport!D58</f>
        <v>0</v>
      </c>
      <c r="F49" s="930">
        <f>transport!E58</f>
        <v>0</v>
      </c>
      <c r="G49" s="930">
        <f>transport!F58</f>
        <v>0</v>
      </c>
      <c r="H49" s="930">
        <f>transport!G58</f>
        <v>12789.473005020114</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19904.14931020642</v>
      </c>
    </row>
    <row r="50" spans="1:18">
      <c r="A50" s="752" t="s">
        <v>296</v>
      </c>
      <c r="B50" s="762"/>
      <c r="C50" s="631">
        <f ca="1">transport!B18</f>
        <v>162.64374631078857</v>
      </c>
      <c r="D50" s="631">
        <f>transport!C18</f>
        <v>0</v>
      </c>
      <c r="E50" s="631">
        <f>transport!D18</f>
        <v>237.65878065016727</v>
      </c>
      <c r="F50" s="631">
        <f>transport!E18</f>
        <v>1354.8403263272401</v>
      </c>
      <c r="G50" s="631">
        <f>transport!F18</f>
        <v>0</v>
      </c>
      <c r="H50" s="631">
        <f>transport!G18</f>
        <v>667190.14492723206</v>
      </c>
      <c r="I50" s="631">
        <f>transport!H18</f>
        <v>103914.64092659824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772859.9287071185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7277.3200514970922</v>
      </c>
      <c r="D52" s="660">
        <f t="shared" ref="D52:Q52" ca="1" si="6">SUM(D48:D51)</f>
        <v>0</v>
      </c>
      <c r="E52" s="660">
        <f t="shared" si="6"/>
        <v>237.65878065016727</v>
      </c>
      <c r="F52" s="660">
        <f t="shared" si="6"/>
        <v>1354.8403263272401</v>
      </c>
      <c r="G52" s="660">
        <f t="shared" si="6"/>
        <v>0</v>
      </c>
      <c r="H52" s="660">
        <f t="shared" si="6"/>
        <v>679979.61793225212</v>
      </c>
      <c r="I52" s="660">
        <f t="shared" si="6"/>
        <v>103914.64092659824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792764.07801732491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4878.4918200994207</v>
      </c>
      <c r="D54" s="631">
        <f ca="1">+landbouw!C12</f>
        <v>0</v>
      </c>
      <c r="E54" s="631">
        <f>+landbouw!D12</f>
        <v>4129.8897603312944</v>
      </c>
      <c r="F54" s="631">
        <f>+landbouw!E12</f>
        <v>106.10111178065083</v>
      </c>
      <c r="G54" s="631">
        <f>+landbouw!F12</f>
        <v>22972.284466433743</v>
      </c>
      <c r="H54" s="631">
        <f>+landbouw!G12</f>
        <v>0</v>
      </c>
      <c r="I54" s="631">
        <f>+landbouw!H12</f>
        <v>0</v>
      </c>
      <c r="J54" s="631">
        <f>+landbouw!I12</f>
        <v>0</v>
      </c>
      <c r="K54" s="631">
        <f>+landbouw!J12</f>
        <v>1983.1173896452672</v>
      </c>
      <c r="L54" s="631">
        <f>+landbouw!K12</f>
        <v>0</v>
      </c>
      <c r="M54" s="631">
        <f>+landbouw!L12</f>
        <v>0</v>
      </c>
      <c r="N54" s="631">
        <f>+landbouw!M12</f>
        <v>0</v>
      </c>
      <c r="O54" s="631">
        <f>+landbouw!N12</f>
        <v>0</v>
      </c>
      <c r="P54" s="631">
        <f>+landbouw!O12</f>
        <v>0</v>
      </c>
      <c r="Q54" s="632">
        <f>+landbouw!P12</f>
        <v>0</v>
      </c>
      <c r="R54" s="659">
        <f ca="1">SUM(C54:Q54)</f>
        <v>34069.884548290378</v>
      </c>
    </row>
    <row r="55" spans="1:18" ht="15" thickBot="1">
      <c r="A55" s="752" t="s">
        <v>788</v>
      </c>
      <c r="B55" s="762"/>
      <c r="C55" s="631">
        <f ca="1">C25*'EF ele_warmte'!B12</f>
        <v>9323.2300313096985</v>
      </c>
      <c r="D55" s="631"/>
      <c r="E55" s="631">
        <f>E25*EF_CO2_aardgas</f>
        <v>30231.303294600002</v>
      </c>
      <c r="F55" s="631"/>
      <c r="G55" s="631"/>
      <c r="H55" s="631"/>
      <c r="I55" s="631"/>
      <c r="J55" s="631"/>
      <c r="K55" s="631"/>
      <c r="L55" s="631"/>
      <c r="M55" s="631"/>
      <c r="N55" s="631"/>
      <c r="O55" s="631"/>
      <c r="P55" s="631"/>
      <c r="Q55" s="632"/>
      <c r="R55" s="659">
        <f ca="1">SUM(C55:Q55)</f>
        <v>39554.533325909702</v>
      </c>
    </row>
    <row r="56" spans="1:18" ht="15.75" thickBot="1">
      <c r="A56" s="750" t="s">
        <v>789</v>
      </c>
      <c r="B56" s="763"/>
      <c r="C56" s="660">
        <f ca="1">SUM(C54:C55)</f>
        <v>14201.721851409118</v>
      </c>
      <c r="D56" s="660">
        <f t="shared" ref="D56:Q56" ca="1" si="7">SUM(D54:D55)</f>
        <v>0</v>
      </c>
      <c r="E56" s="660">
        <f t="shared" si="7"/>
        <v>34361.193054931297</v>
      </c>
      <c r="F56" s="660">
        <f t="shared" si="7"/>
        <v>106.10111178065083</v>
      </c>
      <c r="G56" s="660">
        <f t="shared" si="7"/>
        <v>22972.284466433743</v>
      </c>
      <c r="H56" s="660">
        <f t="shared" si="7"/>
        <v>0</v>
      </c>
      <c r="I56" s="660">
        <f t="shared" si="7"/>
        <v>0</v>
      </c>
      <c r="J56" s="660">
        <f t="shared" si="7"/>
        <v>0</v>
      </c>
      <c r="K56" s="660">
        <f t="shared" si="7"/>
        <v>1983.1173896452672</v>
      </c>
      <c r="L56" s="660">
        <f t="shared" si="7"/>
        <v>0</v>
      </c>
      <c r="M56" s="660">
        <f t="shared" si="7"/>
        <v>0</v>
      </c>
      <c r="N56" s="660">
        <f t="shared" si="7"/>
        <v>0</v>
      </c>
      <c r="O56" s="660">
        <f t="shared" si="7"/>
        <v>0</v>
      </c>
      <c r="P56" s="660">
        <f t="shared" si="7"/>
        <v>0</v>
      </c>
      <c r="Q56" s="661">
        <f t="shared" si="7"/>
        <v>0</v>
      </c>
      <c r="R56" s="662">
        <f ca="1">SUM(R54:R55)</f>
        <v>73624.41787420008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470099.18963438191</v>
      </c>
      <c r="D61" s="668">
        <f t="shared" ref="D61:Q61" ca="1" si="8">D46+D52+D56</f>
        <v>3682.059677870177</v>
      </c>
      <c r="E61" s="668">
        <f t="shared" ca="1" si="8"/>
        <v>804734.02453923435</v>
      </c>
      <c r="F61" s="668">
        <f t="shared" si="8"/>
        <v>16409.397312887479</v>
      </c>
      <c r="G61" s="668">
        <f t="shared" ca="1" si="8"/>
        <v>356251.01343036286</v>
      </c>
      <c r="H61" s="668">
        <f t="shared" si="8"/>
        <v>679979.61793225212</v>
      </c>
      <c r="I61" s="668">
        <f t="shared" si="8"/>
        <v>103914.64092659824</v>
      </c>
      <c r="J61" s="668">
        <f t="shared" si="8"/>
        <v>0</v>
      </c>
      <c r="K61" s="668">
        <f t="shared" si="8"/>
        <v>8425.8443912492894</v>
      </c>
      <c r="L61" s="668">
        <f t="shared" si="8"/>
        <v>0</v>
      </c>
      <c r="M61" s="668">
        <f t="shared" ca="1" si="8"/>
        <v>0</v>
      </c>
      <c r="N61" s="668">
        <f t="shared" si="8"/>
        <v>0</v>
      </c>
      <c r="O61" s="668">
        <f t="shared" ca="1" si="8"/>
        <v>0</v>
      </c>
      <c r="P61" s="668">
        <f t="shared" si="8"/>
        <v>0</v>
      </c>
      <c r="Q61" s="668">
        <f t="shared" si="8"/>
        <v>0</v>
      </c>
      <c r="R61" s="668">
        <f ca="1">R46+R52+R56</f>
        <v>2443495.7878448367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0.20677347796044923</v>
      </c>
      <c r="D63" s="709">
        <f t="shared" ca="1" si="9"/>
        <v>0.23764619518987823</v>
      </c>
      <c r="E63" s="941">
        <f t="shared" ca="1" si="9"/>
        <v>0.20200000000000001</v>
      </c>
      <c r="F63" s="709">
        <f t="shared" si="9"/>
        <v>0.22700000000000001</v>
      </c>
      <c r="G63" s="709">
        <f t="shared" ca="1" si="9"/>
        <v>0.26699999999999996</v>
      </c>
      <c r="H63" s="709">
        <f t="shared" si="9"/>
        <v>0.26699999999999996</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66056.230998585961</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61345.025261338364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10845.708333333334</v>
      </c>
      <c r="D76" s="951">
        <f>'lokale energieproductie'!C8</f>
        <v>12759.610492850603</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2577.4413195558218</v>
      </c>
      <c r="R76" s="779">
        <v>0</v>
      </c>
    </row>
    <row r="77" spans="1:18" ht="30.75" thickBot="1">
      <c r="A77" s="681" t="s">
        <v>340</v>
      </c>
      <c r="B77" s="678">
        <f>'lokale energieproductie'!B9*IFERROR(SUM(I77:O77)/SUM(D77:O77),0)</f>
        <v>19768.5</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56481.428571428572</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147169.75625992432</v>
      </c>
      <c r="C78" s="683">
        <f>SUM(C72:C77)</f>
        <v>10845.708333333334</v>
      </c>
      <c r="D78" s="684">
        <f t="shared" ref="D78:H78" si="10">SUM(D76:D77)</f>
        <v>12759.610492850603</v>
      </c>
      <c r="E78" s="684">
        <f t="shared" si="10"/>
        <v>0</v>
      </c>
      <c r="F78" s="684">
        <f t="shared" si="10"/>
        <v>0</v>
      </c>
      <c r="G78" s="684">
        <f t="shared" si="10"/>
        <v>0</v>
      </c>
      <c r="H78" s="684">
        <f t="shared" si="10"/>
        <v>0</v>
      </c>
      <c r="I78" s="684">
        <f>SUM(I76:I77)</f>
        <v>0</v>
      </c>
      <c r="J78" s="684">
        <f>SUM(J76:J77)</f>
        <v>56481.428571428572</v>
      </c>
      <c r="K78" s="684">
        <f t="shared" ref="K78:L78" si="11">SUM(K76:K77)</f>
        <v>0</v>
      </c>
      <c r="L78" s="684">
        <f t="shared" si="11"/>
        <v>0</v>
      </c>
      <c r="M78" s="684">
        <f>SUM(M76:M77)</f>
        <v>0</v>
      </c>
      <c r="N78" s="684">
        <f>SUM(N76:N77)</f>
        <v>0</v>
      </c>
      <c r="O78" s="787">
        <f>SUM(O76:O77)</f>
        <v>0</v>
      </c>
      <c r="P78" s="685">
        <v>0</v>
      </c>
      <c r="Q78" s="685">
        <f>SUM(Q76:Q77)</f>
        <v>2577.4413195558218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15493.871782496784</v>
      </c>
      <c r="D87" s="705">
        <f>'lokale energieproductie'!C17</f>
        <v>18228.018207278103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3682.059677870177</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15493.871782496784</v>
      </c>
      <c r="D90" s="683">
        <f t="shared" ref="D90:H90" si="12">SUM(D87:D89)</f>
        <v>18228.018207278103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3682.059677870177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652904.01828684309</v>
      </c>
      <c r="C4" s="441">
        <f>huishoudens!C8</f>
        <v>0</v>
      </c>
      <c r="D4" s="441">
        <f>huishoudens!D8</f>
        <v>2017721.0430813292</v>
      </c>
      <c r="E4" s="441">
        <f>huishoudens!E8</f>
        <v>33974.749739213526</v>
      </c>
      <c r="F4" s="441">
        <f>huishoudens!F8</f>
        <v>923706.19675301155</v>
      </c>
      <c r="G4" s="441">
        <f>huishoudens!G8</f>
        <v>0</v>
      </c>
      <c r="H4" s="441">
        <f>huishoudens!H8</f>
        <v>0</v>
      </c>
      <c r="I4" s="441">
        <f>huishoudens!I8</f>
        <v>0</v>
      </c>
      <c r="J4" s="441">
        <f>huishoudens!J8</f>
        <v>17034.792122602503</v>
      </c>
      <c r="K4" s="441">
        <f>huishoudens!K8</f>
        <v>0</v>
      </c>
      <c r="L4" s="441">
        <f>huishoudens!L8</f>
        <v>0</v>
      </c>
      <c r="M4" s="441">
        <f>huishoudens!M8</f>
        <v>0</v>
      </c>
      <c r="N4" s="441">
        <f>huishoudens!N8</f>
        <v>295596.04853913235</v>
      </c>
      <c r="O4" s="441">
        <f>huishoudens!O8</f>
        <v>1142.7966666666669</v>
      </c>
      <c r="P4" s="442">
        <f>huishoudens!P8</f>
        <v>1315.6</v>
      </c>
      <c r="Q4" s="443">
        <f>SUM(B4:P4)</f>
        <v>3943395.2451887988</v>
      </c>
    </row>
    <row r="5" spans="1:17">
      <c r="A5" s="440" t="s">
        <v>149</v>
      </c>
      <c r="B5" s="441">
        <f ca="1">tertiair!B16</f>
        <v>1183367.704541333</v>
      </c>
      <c r="C5" s="441">
        <f ca="1">tertiair!C16</f>
        <v>10312.443211068212</v>
      </c>
      <c r="D5" s="441">
        <f ca="1">tertiair!D16</f>
        <v>1499053.8640455268</v>
      </c>
      <c r="E5" s="441">
        <f>tertiair!E16</f>
        <v>11593.965755274023</v>
      </c>
      <c r="F5" s="441">
        <f ca="1">tertiair!F16</f>
        <v>208981.46928615373</v>
      </c>
      <c r="G5" s="441">
        <f>tertiair!G16</f>
        <v>0</v>
      </c>
      <c r="H5" s="441">
        <f>tertiair!H16</f>
        <v>0</v>
      </c>
      <c r="I5" s="441">
        <f>tertiair!I16</f>
        <v>0</v>
      </c>
      <c r="J5" s="441">
        <f>tertiair!J16</f>
        <v>1.0181707072503587</v>
      </c>
      <c r="K5" s="441">
        <f>tertiair!K16</f>
        <v>0</v>
      </c>
      <c r="L5" s="441">
        <f ca="1">tertiair!L16</f>
        <v>0</v>
      </c>
      <c r="M5" s="441">
        <f>tertiair!M16</f>
        <v>0</v>
      </c>
      <c r="N5" s="441">
        <f ca="1">tertiair!N16</f>
        <v>0</v>
      </c>
      <c r="O5" s="441">
        <f>tertiair!O16</f>
        <v>21.88666666666667</v>
      </c>
      <c r="P5" s="442">
        <f>tertiair!P16</f>
        <v>838.93333333333339</v>
      </c>
      <c r="Q5" s="440">
        <f t="shared" ref="Q5:Q14" ca="1" si="0">SUM(B5:P5)</f>
        <v>2914171.2850100631</v>
      </c>
    </row>
    <row r="6" spans="1:17">
      <c r="A6" s="440" t="s">
        <v>187</v>
      </c>
      <c r="B6" s="441">
        <f>'openbare verlichting'!B8</f>
        <v>29030.080000000002</v>
      </c>
      <c r="C6" s="441"/>
      <c r="D6" s="441"/>
      <c r="E6" s="441"/>
      <c r="F6" s="441"/>
      <c r="G6" s="441"/>
      <c r="H6" s="441"/>
      <c r="I6" s="441"/>
      <c r="J6" s="441"/>
      <c r="K6" s="441"/>
      <c r="L6" s="441"/>
      <c r="M6" s="441"/>
      <c r="N6" s="441"/>
      <c r="O6" s="441"/>
      <c r="P6" s="442"/>
      <c r="Q6" s="440">
        <f t="shared" si="0"/>
        <v>29030.080000000002</v>
      </c>
    </row>
    <row r="7" spans="1:17">
      <c r="A7" s="440" t="s">
        <v>105</v>
      </c>
      <c r="B7" s="441">
        <f>landbouw!B8</f>
        <v>23593.411825439998</v>
      </c>
      <c r="C7" s="441">
        <f>landbouw!C8</f>
        <v>0</v>
      </c>
      <c r="D7" s="441">
        <f>landbouw!D8</f>
        <v>20444.998813521259</v>
      </c>
      <c r="E7" s="441">
        <f>landbouw!E8</f>
        <v>467.40577876938687</v>
      </c>
      <c r="F7" s="441">
        <f>landbouw!F8</f>
        <v>86038.518600875439</v>
      </c>
      <c r="G7" s="441">
        <f>landbouw!G8</f>
        <v>0</v>
      </c>
      <c r="H7" s="441">
        <f>landbouw!H8</f>
        <v>0</v>
      </c>
      <c r="I7" s="441">
        <f>landbouw!I8</f>
        <v>0</v>
      </c>
      <c r="J7" s="441">
        <f>landbouw!J8</f>
        <v>5602.0265244216589</v>
      </c>
      <c r="K7" s="441">
        <f>landbouw!K8</f>
        <v>0</v>
      </c>
      <c r="L7" s="441">
        <f>landbouw!L8</f>
        <v>0</v>
      </c>
      <c r="M7" s="441">
        <f>landbouw!M8</f>
        <v>0</v>
      </c>
      <c r="N7" s="441">
        <f>landbouw!N8</f>
        <v>0</v>
      </c>
      <c r="O7" s="441">
        <f>landbouw!O8</f>
        <v>0</v>
      </c>
      <c r="P7" s="442">
        <f>landbouw!P8</f>
        <v>0</v>
      </c>
      <c r="Q7" s="440">
        <f t="shared" si="0"/>
        <v>136146.36154302774</v>
      </c>
    </row>
    <row r="8" spans="1:17">
      <c r="A8" s="440" t="s">
        <v>600</v>
      </c>
      <c r="B8" s="441">
        <f>industrie!B18</f>
        <v>304319.52460960002</v>
      </c>
      <c r="C8" s="441">
        <f>industrie!C18</f>
        <v>5181.4285714285716</v>
      </c>
      <c r="D8" s="441">
        <f>industrie!D18</f>
        <v>295775.45279221737</v>
      </c>
      <c r="E8" s="441">
        <f>industrie!E18</f>
        <v>20283.51302877054</v>
      </c>
      <c r="F8" s="441">
        <f>industrie!F18</f>
        <v>115547.27390064413</v>
      </c>
      <c r="G8" s="441">
        <f>industrie!G18</f>
        <v>0</v>
      </c>
      <c r="H8" s="441">
        <f>industrie!H18</f>
        <v>0</v>
      </c>
      <c r="I8" s="441">
        <f>industrie!I18</f>
        <v>0</v>
      </c>
      <c r="J8" s="441">
        <f>industrie!J18</f>
        <v>1163.9834965321211</v>
      </c>
      <c r="K8" s="441">
        <f>industrie!K18</f>
        <v>0</v>
      </c>
      <c r="L8" s="441">
        <f>industrie!L18</f>
        <v>0</v>
      </c>
      <c r="M8" s="441">
        <f>industrie!M18</f>
        <v>0</v>
      </c>
      <c r="N8" s="441">
        <f>industrie!N18</f>
        <v>39092.05254492972</v>
      </c>
      <c r="O8" s="441">
        <f>industrie!O18</f>
        <v>0</v>
      </c>
      <c r="P8" s="442">
        <f>industrie!P18</f>
        <v>0</v>
      </c>
      <c r="Q8" s="440">
        <f t="shared" si="0"/>
        <v>781363.22894412244</v>
      </c>
    </row>
    <row r="9" spans="1:17" s="446" customFormat="1">
      <c r="A9" s="444" t="s">
        <v>549</v>
      </c>
      <c r="B9" s="445">
        <f>transport!B14</f>
        <v>786.57934235597827</v>
      </c>
      <c r="C9" s="445">
        <f>transport!C14</f>
        <v>0</v>
      </c>
      <c r="D9" s="445">
        <f>transport!D14</f>
        <v>1176.5286170800359</v>
      </c>
      <c r="E9" s="445">
        <f>transport!E14</f>
        <v>5968.4595873446697</v>
      </c>
      <c r="F9" s="445">
        <f>transport!F14</f>
        <v>0</v>
      </c>
      <c r="G9" s="445">
        <f>transport!G14</f>
        <v>2498839.4941094834</v>
      </c>
      <c r="H9" s="445">
        <f>transport!H14</f>
        <v>417327.87520722183</v>
      </c>
      <c r="I9" s="445">
        <f>transport!I14</f>
        <v>0</v>
      </c>
      <c r="J9" s="445">
        <f>transport!J14</f>
        <v>0</v>
      </c>
      <c r="K9" s="445">
        <f>transport!K14</f>
        <v>0</v>
      </c>
      <c r="L9" s="445">
        <f>transport!L14</f>
        <v>0</v>
      </c>
      <c r="M9" s="445">
        <f>transport!M14</f>
        <v>91120.5097637086</v>
      </c>
      <c r="N9" s="445">
        <f>transport!N14</f>
        <v>0</v>
      </c>
      <c r="O9" s="445">
        <f>transport!O14</f>
        <v>0</v>
      </c>
      <c r="P9" s="445">
        <f>transport!P14</f>
        <v>0</v>
      </c>
      <c r="Q9" s="444">
        <f>SUM(B9:P9)</f>
        <v>3015219.4466271945</v>
      </c>
    </row>
    <row r="10" spans="1:17">
      <c r="A10" s="440" t="s">
        <v>539</v>
      </c>
      <c r="B10" s="441">
        <f>transport!B54</f>
        <v>34408.070006672555</v>
      </c>
      <c r="C10" s="441">
        <f>transport!C54</f>
        <v>0</v>
      </c>
      <c r="D10" s="441">
        <f>transport!D54</f>
        <v>0</v>
      </c>
      <c r="E10" s="441">
        <f>transport!E54</f>
        <v>0</v>
      </c>
      <c r="F10" s="441">
        <f>transport!F54</f>
        <v>0</v>
      </c>
      <c r="G10" s="441">
        <f>transport!G54</f>
        <v>47900.647958876827</v>
      </c>
      <c r="H10" s="441">
        <f>transport!H54</f>
        <v>0</v>
      </c>
      <c r="I10" s="441">
        <f>transport!I54</f>
        <v>0</v>
      </c>
      <c r="J10" s="441">
        <f>transport!J54</f>
        <v>0</v>
      </c>
      <c r="K10" s="441">
        <f>transport!K54</f>
        <v>0</v>
      </c>
      <c r="L10" s="441">
        <f>transport!L54</f>
        <v>0</v>
      </c>
      <c r="M10" s="441">
        <f>transport!M54</f>
        <v>1495.2726317984486</v>
      </c>
      <c r="N10" s="441">
        <f>transport!N54</f>
        <v>0</v>
      </c>
      <c r="O10" s="441">
        <f>transport!O54</f>
        <v>0</v>
      </c>
      <c r="P10" s="442">
        <f>transport!P54</f>
        <v>0</v>
      </c>
      <c r="Q10" s="440">
        <f t="shared" si="0"/>
        <v>83803.990597347831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45089.100030000001</v>
      </c>
      <c r="C14" s="448"/>
      <c r="D14" s="448">
        <f>'SEAP template'!E25</f>
        <v>149659.9173</v>
      </c>
      <c r="E14" s="448"/>
      <c r="F14" s="448"/>
      <c r="G14" s="448"/>
      <c r="H14" s="448"/>
      <c r="I14" s="448"/>
      <c r="J14" s="448"/>
      <c r="K14" s="448"/>
      <c r="L14" s="448"/>
      <c r="M14" s="448"/>
      <c r="N14" s="448"/>
      <c r="O14" s="448"/>
      <c r="P14" s="449"/>
      <c r="Q14" s="440">
        <f t="shared" si="0"/>
        <v>194749.01733</v>
      </c>
    </row>
    <row r="15" spans="1:17" s="450" customFormat="1">
      <c r="A15" s="956" t="s">
        <v>543</v>
      </c>
      <c r="B15" s="896">
        <f ca="1">SUM(B4:B14)</f>
        <v>2273498.4886422446</v>
      </c>
      <c r="C15" s="896">
        <f t="shared" ref="C15:Q15" ca="1" si="1">SUM(C4:C14)</f>
        <v>15493.871782496783</v>
      </c>
      <c r="D15" s="896">
        <f t="shared" ca="1" si="1"/>
        <v>3983831.8046496743</v>
      </c>
      <c r="E15" s="896">
        <f t="shared" si="1"/>
        <v>72288.093889372147</v>
      </c>
      <c r="F15" s="896">
        <f t="shared" ca="1" si="1"/>
        <v>1334273.458540685</v>
      </c>
      <c r="G15" s="896">
        <f t="shared" si="1"/>
        <v>2546740.1420683605</v>
      </c>
      <c r="H15" s="896">
        <f t="shared" si="1"/>
        <v>417327.87520722183</v>
      </c>
      <c r="I15" s="896">
        <f t="shared" si="1"/>
        <v>0</v>
      </c>
      <c r="J15" s="896">
        <f t="shared" si="1"/>
        <v>23801.820314263532</v>
      </c>
      <c r="K15" s="896">
        <f t="shared" si="1"/>
        <v>0</v>
      </c>
      <c r="L15" s="896">
        <f t="shared" ca="1" si="1"/>
        <v>0</v>
      </c>
      <c r="M15" s="896">
        <f t="shared" si="1"/>
        <v>92615.782395507049</v>
      </c>
      <c r="N15" s="896">
        <f t="shared" ca="1" si="1"/>
        <v>334688.10108406207</v>
      </c>
      <c r="O15" s="896">
        <f t="shared" si="1"/>
        <v>1164.6833333333336</v>
      </c>
      <c r="P15" s="896">
        <f t="shared" si="1"/>
        <v>2154.5333333333333</v>
      </c>
      <c r="Q15" s="896">
        <f t="shared" ca="1" si="1"/>
        <v>11097878.655240556</v>
      </c>
    </row>
    <row r="17" spans="1:17">
      <c r="A17" s="451" t="s">
        <v>544</v>
      </c>
      <c r="B17" s="714">
        <f ca="1">huishoudens!B10</f>
        <v>0.20677347796044929</v>
      </c>
      <c r="C17" s="714">
        <f ca="1">huishoudens!C10</f>
        <v>0.23764619518987823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135003.23463552332</v>
      </c>
      <c r="C22" s="441">
        <f t="shared" ref="C22:C32" ca="1" si="3">C4*$C$17</f>
        <v>0</v>
      </c>
      <c r="D22" s="441">
        <f t="shared" ref="D22:D32" si="4">D4*$D$17</f>
        <v>407579.65070242854</v>
      </c>
      <c r="E22" s="441">
        <f t="shared" ref="E22:E32" si="5">E4*$E$17</f>
        <v>7712.2681908014711</v>
      </c>
      <c r="F22" s="441">
        <f t="shared" ref="F22:F32" si="6">F4*$F$17</f>
        <v>246629.55453305409</v>
      </c>
      <c r="G22" s="441">
        <f t="shared" ref="G22:G32" si="7">G4*$G$17</f>
        <v>0</v>
      </c>
      <c r="H22" s="441">
        <f t="shared" ref="H22:H32" si="8">H4*$H$17</f>
        <v>0</v>
      </c>
      <c r="I22" s="441">
        <f t="shared" ref="I22:I32" si="9">I4*$I$17</f>
        <v>0</v>
      </c>
      <c r="J22" s="441">
        <f t="shared" ref="J22:J32" si="10">J4*$J$17</f>
        <v>6030.3164114012852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802955.0244732087</v>
      </c>
    </row>
    <row r="23" spans="1:17">
      <c r="A23" s="440" t="s">
        <v>149</v>
      </c>
      <c r="B23" s="441">
        <f t="shared" ca="1" si="2"/>
        <v>244689.0559740848</v>
      </c>
      <c r="C23" s="441">
        <f t="shared" ca="1" si="3"/>
        <v>2450.7128922220509</v>
      </c>
      <c r="D23" s="441">
        <f t="shared" ca="1" si="4"/>
        <v>302808.88053719641</v>
      </c>
      <c r="E23" s="441">
        <f t="shared" si="5"/>
        <v>2631.8302264472031</v>
      </c>
      <c r="F23" s="441">
        <f t="shared" ca="1" si="6"/>
        <v>55798.052299403047</v>
      </c>
      <c r="G23" s="441">
        <f t="shared" si="7"/>
        <v>0</v>
      </c>
      <c r="H23" s="441">
        <f t="shared" si="8"/>
        <v>0</v>
      </c>
      <c r="I23" s="441">
        <f t="shared" si="9"/>
        <v>0</v>
      </c>
      <c r="J23" s="441">
        <f t="shared" si="10"/>
        <v>0.36043243036662698</v>
      </c>
      <c r="K23" s="441">
        <f t="shared" si="11"/>
        <v>0</v>
      </c>
      <c r="L23" s="441">
        <f t="shared" ca="1" si="12"/>
        <v>0</v>
      </c>
      <c r="M23" s="441">
        <f t="shared" si="13"/>
        <v>0</v>
      </c>
      <c r="N23" s="441">
        <f t="shared" ca="1" si="14"/>
        <v>0</v>
      </c>
      <c r="O23" s="441">
        <f t="shared" si="15"/>
        <v>0</v>
      </c>
      <c r="P23" s="442">
        <f t="shared" si="16"/>
        <v>0</v>
      </c>
      <c r="Q23" s="440">
        <f t="shared" ref="Q23:Q32" ca="1" si="17">SUM(B23:P23)</f>
        <v>608378.89236178389</v>
      </c>
    </row>
    <row r="24" spans="1:17">
      <c r="A24" s="440" t="s">
        <v>187</v>
      </c>
      <c r="B24" s="441">
        <f t="shared" ca="1" si="2"/>
        <v>6002.6506070700798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6002.6506070700798</v>
      </c>
    </row>
    <row r="25" spans="1:17">
      <c r="A25" s="440" t="s">
        <v>105</v>
      </c>
      <c r="B25" s="441">
        <f t="shared" ca="1" si="2"/>
        <v>4878.4918200994207</v>
      </c>
      <c r="C25" s="441">
        <f t="shared" ca="1" si="3"/>
        <v>0</v>
      </c>
      <c r="D25" s="441">
        <f t="shared" si="4"/>
        <v>4129.8897603312944</v>
      </c>
      <c r="E25" s="441">
        <f t="shared" si="5"/>
        <v>106.10111178065083</v>
      </c>
      <c r="F25" s="441">
        <f t="shared" si="6"/>
        <v>22972.284466433743</v>
      </c>
      <c r="G25" s="441">
        <f t="shared" si="7"/>
        <v>0</v>
      </c>
      <c r="H25" s="441">
        <f t="shared" si="8"/>
        <v>0</v>
      </c>
      <c r="I25" s="441">
        <f t="shared" si="9"/>
        <v>0</v>
      </c>
      <c r="J25" s="441">
        <f t="shared" si="10"/>
        <v>1983.1173896452672</v>
      </c>
      <c r="K25" s="441">
        <f t="shared" si="11"/>
        <v>0</v>
      </c>
      <c r="L25" s="441">
        <f t="shared" si="12"/>
        <v>0</v>
      </c>
      <c r="M25" s="441">
        <f t="shared" si="13"/>
        <v>0</v>
      </c>
      <c r="N25" s="441">
        <f t="shared" si="14"/>
        <v>0</v>
      </c>
      <c r="O25" s="441">
        <f t="shared" si="15"/>
        <v>0</v>
      </c>
      <c r="P25" s="442">
        <f t="shared" si="16"/>
        <v>0</v>
      </c>
      <c r="Q25" s="440">
        <f t="shared" ca="1" si="17"/>
        <v>34069.884548290378</v>
      </c>
    </row>
    <row r="26" spans="1:17">
      <c r="A26" s="440" t="s">
        <v>600</v>
      </c>
      <c r="B26" s="441">
        <f t="shared" ca="1" si="2"/>
        <v>62925.206514797537</v>
      </c>
      <c r="C26" s="441">
        <f t="shared" ca="1" si="3"/>
        <v>1231.3467856481261</v>
      </c>
      <c r="D26" s="441">
        <f t="shared" si="4"/>
        <v>59746.641464027911</v>
      </c>
      <c r="E26" s="441">
        <f t="shared" si="5"/>
        <v>4604.3574575309131</v>
      </c>
      <c r="F26" s="441">
        <f t="shared" si="6"/>
        <v>30851.122131471984</v>
      </c>
      <c r="G26" s="441">
        <f t="shared" si="7"/>
        <v>0</v>
      </c>
      <c r="H26" s="441">
        <f t="shared" si="8"/>
        <v>0</v>
      </c>
      <c r="I26" s="441">
        <f t="shared" si="9"/>
        <v>0</v>
      </c>
      <c r="J26" s="441">
        <f t="shared" si="10"/>
        <v>412.05015777237082</v>
      </c>
      <c r="K26" s="441">
        <f t="shared" si="11"/>
        <v>0</v>
      </c>
      <c r="L26" s="441">
        <f t="shared" si="12"/>
        <v>0</v>
      </c>
      <c r="M26" s="441">
        <f t="shared" si="13"/>
        <v>0</v>
      </c>
      <c r="N26" s="441">
        <f t="shared" si="14"/>
        <v>0</v>
      </c>
      <c r="O26" s="441">
        <f t="shared" si="15"/>
        <v>0</v>
      </c>
      <c r="P26" s="442">
        <f t="shared" si="16"/>
        <v>0</v>
      </c>
      <c r="Q26" s="440">
        <f t="shared" ca="1" si="17"/>
        <v>159770.72451124885</v>
      </c>
    </row>
    <row r="27" spans="1:17" s="446" customFormat="1">
      <c r="A27" s="444" t="s">
        <v>549</v>
      </c>
      <c r="B27" s="708">
        <f t="shared" ca="1" si="2"/>
        <v>162.64374631078857</v>
      </c>
      <c r="C27" s="445">
        <f t="shared" ca="1" si="3"/>
        <v>0</v>
      </c>
      <c r="D27" s="445">
        <f t="shared" si="4"/>
        <v>237.65878065016727</v>
      </c>
      <c r="E27" s="445">
        <f t="shared" si="5"/>
        <v>1354.8403263272401</v>
      </c>
      <c r="F27" s="445">
        <f t="shared" si="6"/>
        <v>0</v>
      </c>
      <c r="G27" s="445">
        <f t="shared" si="7"/>
        <v>667190.14492723206</v>
      </c>
      <c r="H27" s="445">
        <f t="shared" si="8"/>
        <v>103914.64092659824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772859.9287071185</v>
      </c>
    </row>
    <row r="28" spans="1:17">
      <c r="A28" s="440" t="s">
        <v>539</v>
      </c>
      <c r="B28" s="441">
        <f t="shared" ca="1" si="2"/>
        <v>7114.6763051863036</v>
      </c>
      <c r="C28" s="441">
        <f t="shared" ca="1" si="3"/>
        <v>0</v>
      </c>
      <c r="D28" s="441">
        <f t="shared" si="4"/>
        <v>0</v>
      </c>
      <c r="E28" s="441">
        <f t="shared" si="5"/>
        <v>0</v>
      </c>
      <c r="F28" s="441">
        <f t="shared" si="6"/>
        <v>0</v>
      </c>
      <c r="G28" s="441">
        <f t="shared" si="7"/>
        <v>12789.473005020114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19904.14931020642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9323.2300313096985</v>
      </c>
      <c r="C32" s="441">
        <f t="shared" ca="1" si="3"/>
        <v>0</v>
      </c>
      <c r="D32" s="441">
        <f t="shared" si="4"/>
        <v>30231.303294600002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39554.533325909702</v>
      </c>
    </row>
    <row r="33" spans="1:17" s="450" customFormat="1">
      <c r="A33" s="956" t="s">
        <v>543</v>
      </c>
      <c r="B33" s="896">
        <f ca="1">SUM(B22:B32)</f>
        <v>470099.18963438191</v>
      </c>
      <c r="C33" s="896">
        <f t="shared" ref="C33:Q33" ca="1" si="18">SUM(C22:C32)</f>
        <v>3682.059677870177</v>
      </c>
      <c r="D33" s="896">
        <f t="shared" ca="1" si="18"/>
        <v>804734.02453923423</v>
      </c>
      <c r="E33" s="896">
        <f t="shared" si="18"/>
        <v>16409.397312887479</v>
      </c>
      <c r="F33" s="896">
        <f t="shared" ca="1" si="18"/>
        <v>356251.01343036286</v>
      </c>
      <c r="G33" s="896">
        <f t="shared" si="18"/>
        <v>679979.61793225212</v>
      </c>
      <c r="H33" s="896">
        <f t="shared" si="18"/>
        <v>103914.64092659824</v>
      </c>
      <c r="I33" s="896">
        <f t="shared" si="18"/>
        <v>0</v>
      </c>
      <c r="J33" s="896">
        <f t="shared" si="18"/>
        <v>8425.8443912492912</v>
      </c>
      <c r="K33" s="896">
        <f t="shared" si="18"/>
        <v>0</v>
      </c>
      <c r="L33" s="896">
        <f t="shared" ca="1" si="18"/>
        <v>0</v>
      </c>
      <c r="M33" s="896">
        <f t="shared" si="18"/>
        <v>0</v>
      </c>
      <c r="N33" s="896">
        <f t="shared" ca="1" si="18"/>
        <v>0</v>
      </c>
      <c r="O33" s="896">
        <f t="shared" si="18"/>
        <v>0</v>
      </c>
      <c r="P33" s="896">
        <f t="shared" si="18"/>
        <v>0</v>
      </c>
      <c r="Q33" s="896">
        <f t="shared" ca="1" si="18"/>
        <v>2443495.7878448367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66056.230998585961</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61345.025261338364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10845.708333333334</v>
      </c>
      <c r="D8" s="973">
        <f>'SEAP template'!D76</f>
        <v>12759.610492850603</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2577.4413195558218</v>
      </c>
    </row>
    <row r="9" spans="1:16">
      <c r="A9" s="976" t="s">
        <v>803</v>
      </c>
      <c r="B9" s="973">
        <f>'SEAP template'!B77</f>
        <v>19768.5</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56481.428571428572</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147169.75625992432</v>
      </c>
      <c r="C10" s="977">
        <f>SUM(C4:C9)</f>
        <v>10845.708333333334</v>
      </c>
      <c r="D10" s="977">
        <f t="shared" ref="D10:H10" si="0">SUM(D8:D9)</f>
        <v>12759.610492850603</v>
      </c>
      <c r="E10" s="977">
        <f t="shared" si="0"/>
        <v>0</v>
      </c>
      <c r="F10" s="977">
        <f t="shared" si="0"/>
        <v>0</v>
      </c>
      <c r="G10" s="977">
        <f t="shared" si="0"/>
        <v>0</v>
      </c>
      <c r="H10" s="977">
        <f t="shared" si="0"/>
        <v>0</v>
      </c>
      <c r="I10" s="977">
        <f>SUM(I8:I9)</f>
        <v>0</v>
      </c>
      <c r="J10" s="977">
        <f>SUM(J8:J9)</f>
        <v>56481.428571428572</v>
      </c>
      <c r="K10" s="977">
        <f t="shared" ref="K10:L10" si="1">SUM(K8:K9)</f>
        <v>0</v>
      </c>
      <c r="L10" s="977">
        <f t="shared" si="1"/>
        <v>0</v>
      </c>
      <c r="M10" s="977">
        <f>SUM(M8:M9)</f>
        <v>0</v>
      </c>
      <c r="N10" s="977">
        <f>SUM(N8:N9)</f>
        <v>0</v>
      </c>
      <c r="O10" s="977">
        <f>SUM(O8:O9)</f>
        <v>0</v>
      </c>
      <c r="P10" s="977">
        <f>SUM(P8:P9)</f>
        <v>2577.4413195558218</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0.20677347796044929</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15493.871782496784</v>
      </c>
      <c r="D17" s="974">
        <f>'SEAP template'!D87</f>
        <v>18228.018207278103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3682.059677870177</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15493.871782496784</v>
      </c>
      <c r="D20" s="977">
        <f t="shared" ref="D20:H20" si="2">SUM(D17:D19)</f>
        <v>18228.018207278103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3682.059677870177</v>
      </c>
    </row>
    <row r="22" spans="1:16">
      <c r="A22" s="451" t="s">
        <v>811</v>
      </c>
      <c r="B22" s="714" t="s">
        <v>805</v>
      </c>
      <c r="C22" s="714">
        <f ca="1">'EF ele_warmte'!B22</f>
        <v>0.23764619518987823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0.20677347796044929</v>
      </c>
      <c r="C17" s="488">
        <f ca="1">'EF ele_warmte'!B22</f>
        <v>0.23764619518987823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2022-07-26T10:55:11Z</dcterms:modified>
</cp:coreProperties>
</file>