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56F674E-DEC7-4A94-BF00-A849D573064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<sst xmlns="http://schemas.openxmlformats.org/spreadsheetml/2006/main" count="2436" uniqueCount="907">
  <si>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</si>
  <si>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</si>
  <si>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</si>
  <si>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</si>
  <si>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</si>
  <si>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</si>
  <si>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</si>
  <si>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</si>
  <si>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</si>
  <si>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</si>
  <si>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</si>
  <si>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</si>
  <si>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</si>
  <si>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</si>
  <si>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</si>
  <si>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</si>
  <si>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</si>
  <si>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</si>
  <si>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</si>
  <si>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</si>
  <si>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</si>
  <si>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</si>
  <si>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</si>
  <si>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</si>
  <si>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</si>
  <si>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</si>
  <si>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</si>
  <si>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</si>
  <si>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</si>
  <si>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</si>
  <si>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</si>
  <si>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</si>
  <si>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</si>
  <si>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</si>
  <si>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</si>
  <si>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</si>
  <si>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</si>
  <si>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</si>
  <si>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</si>
  <si>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</si>
  <si>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</si>
  <si>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</si>
  <si>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</si>
  <si>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</si>
  <si>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</si>
  <si>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</si>
  <si>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</si>
  <si>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</si>
  <si>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</si>
  <si>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</si>
  <si>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</si>
  <si>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</si>
  <si>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</si>
  <si>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</si>
  <si>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</si>
  <si>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</si>
  <si>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</si>
  <si>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</si>
  <si>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</si>
  <si>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</si>
  <si>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</si>
  <si>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</si>
  <si>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</si>
  <si>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</si>
  <si>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</si>
  <si>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</si>
  <si>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</si>
  <si>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</si>
  <si>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</si>
  <si>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</si>
  <si>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</si>
  <si>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</si>
  <si>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</si>
  <si>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</si>
  <si>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</si>
  <si>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</si>
  <si>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</si>
  <si>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</si>
  <si>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</si>
  <si>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</si>
  <si>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</si>
  <si>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</si>
  <si>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</si>
  <si>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</si>
  <si>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</si>
  <si>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</si>
  <si>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</si>
  <si>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</si>
  <si>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</si>
  <si>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</si>
  <si>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</si>
  <si>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</si>
  <si>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</si>
  <si>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</si>
  <si>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</si>
  <si>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</si>
  <si>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</si>
  <si>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</si>
  <si>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</si>
  <si>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</si>
  <si>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</si>
  <si>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</si>
  <si>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</si>
  <si>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</si>
  <si>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</si>
  <si>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</si>
  <si>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</si>
  <si>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</si>
  <si>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</si>
  <si>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</si>
  <si>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</si>
  <si>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</si>
  <si>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</si>
  <si>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</si>
  <si>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</si>
  <si>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</si>
  <si>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</si>
  <si>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</si>
  <si>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</si>
  <si>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</si>
  <si>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</si>
  <si>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</si>
  <si>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</si>
  <si>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</si>
  <si>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</si>
  <si>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</si>
  <si>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</si>
  <si>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</si>
  <si>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</si>
  <si>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</si>
  <si>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</si>
  <si>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</si>
  <si>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</si>
  <si>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</si>
  <si>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</si>
  <si>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</si>
  <si>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</si>
  <si>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</si>
  <si>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</si>
  <si>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</si>
  <si>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</si>
  <si>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</si>
  <si>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</si>
  <si>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</si>
  <si>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</si>
  <si>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</si>
  <si>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</si>
  <si>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</si>
  <si>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</si>
  <si>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</si>
  <si>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</si>
  <si>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</si>
  <si>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</si>
  <si>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</si>
  <si>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</si>
  <si>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</si>
  <si>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</si>
  <si>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</si>
  <si>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</si>
  <si>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</si>
  <si>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</si>
  <si>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</si>
  <si>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</si>
  <si>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</si>
  <si>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</si>
  <si>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</si>
  <si>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</si>
  <si>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</si>
  <si>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</si>
  <si>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</si>
  <si>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</si>
  <si>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</si>
  <si>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</si>
  <si>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</si>
  <si>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</si>
  <si>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</si>
  <si>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</si>
  <si>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</si>
  <si>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</si>
  <si>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</si>
  <si>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</si>
  <si>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</si>
  <si>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</si>
  <si>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</si>
  <si>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</si>
  <si>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</si>
  <si>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</si>
  <si>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</si>
  <si>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</si>
  <si>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</si>
  <si>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</si>
  <si>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</si>
  <si>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</si>
  <si>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</si>
  <si>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</si>
  <si>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</si>
  <si>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</si>
  <si>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</si>
  <si>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</si>
  <si>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</si>
  <si>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</si>
  <si>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</si>
  <si>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</si>
  <si>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</si>
  <si>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</si>
  <si>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</si>
  <si>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</si>
  <si>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</si>
  <si>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</si>
  <si>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</si>
  <si>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</si>
  <si>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</si>
  <si>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</si>
  <si>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</si>
  <si>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</si>
  <si>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</si>
  <si>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</si>
  <si>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</si>
  <si>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</si>
  <si>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</si>
  <si>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</si>
  <si>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</si>
  <si>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</si>
  <si>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</si>
  <si>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</si>
  <si>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</si>
  <si>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</si>
  <si>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</si>
  <si>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</si>
  <si>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</si>
  <si>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</si>
  <si>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</si>
  <si>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</si>
  <si>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</si>
  <si>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</si>
  <si>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</si>
  <si>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</si>
  <si>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</si>
  <si>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</si>
  <si>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</si>
  <si>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</si>
  <si>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</si>
  <si>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</si>
  <si>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</si>
  <si>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</si>
  <si>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</si>
  <si>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</si>
  <si>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</si>
  <si>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</si>
  <si>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</si>
  <si>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</si>
  <si>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</si>
  <si>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</si>
  <si>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</si>
  <si>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</si>
  <si>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</si>
  <si>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</si>
  <si>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</si>
  <si>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</si>
  <si>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</si>
  <si>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</si>
  <si>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</si>
  <si>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</si>
  <si>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</si>
  <si>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</si>
  <si>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</si>
  <si>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</si>
  <si>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</si>
  <si>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</si>
  <si>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</si>
  <si>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</si>
  <si>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</si>
  <si>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</si>
  <si>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</si>
  <si>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</si>
  <si>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</si>
  <si>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</si>
  <si>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</si>
  <si>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</si>
  <si>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</si>
  <si>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</si>
  <si>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</si>
  <si>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</si>
  <si>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</si>
  <si>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</si>
  <si>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</si>
  <si>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</si>
  <si>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</si>
  <si>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</si>
  <si>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</si>
  <si>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</si>
  <si>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</si>
  <si>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</si>
  <si>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</si>
  <si>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</si>
  <si>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</si>
  <si>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</si>
  <si>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</si>
  <si>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</si>
  <si>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</si>
  <si>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</si>
  <si>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</si>
  <si>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</si>
  <si>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</si>
  <si>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</si>
  <si>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</si>
  <si>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</si>
  <si>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</si>
  <si>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</si>
  <si>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</si>
  <si>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</si>
  <si>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</si>
  <si>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</si>
  <si>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</si>
  <si>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</si>
  <si>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</si>
  <si>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</si>
  <si>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</si>
  <si>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</si>
  <si>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</si>
  <si>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</si>
  <si>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</si>
  <si>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</si>
  <si>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</si>
  <si>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</si>
  <si>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</si>
  <si>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</si>
  <si>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</si>
  <si>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</si>
  <si>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</si>
  <si>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</si>
  <si>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</si>
  <si>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</si>
  <si>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</si>
  <si>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</si>
  <si>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</si>
  <si>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</si>
  <si>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</si>
  <si>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</si>
  <si>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</si>
  <si>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</si>
  <si>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</si>
  <si>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</si>
  <si>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</si>
  <si>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</si>
  <si>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</si>
  <si>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</si>
  <si>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</si>
  <si>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</si>
  <si>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</si>
  <si>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</si>
  <si>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</si>
  <si>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</si>
  <si>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</si>
  <si>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</si>
  <si>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</si>
  <si>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</si>
  <si>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</si>
  <si>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</si>
  <si>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</si>
  <si>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</si>
  <si>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</si>
  <si>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</si>
  <si>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</si>
  <si>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</si>
  <si>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</si>
  <si>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</si>
  <si>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</si>
  <si>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</si>
  <si>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</si>
  <si>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</si>
  <si>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</si>
  <si>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</si>
  <si>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</si>
  <si>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</si>
  <si>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</si>
  <si>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</si>
  <si>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</si>
  <si>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</si>
  <si>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</si>
  <si>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</si>
  <si>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</si>
  <si>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</si>
  <si>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</si>
  <si>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</si>
  <si>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</si>
  <si>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</si>
  <si>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</si>
  <si>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</si>
  <si>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</si>
  <si>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</si>
  <si>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</si>
  <si>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</si>
  <si>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</si>
  <si>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</si>
  <si>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</si>
  <si>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</si>
  <si>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</si>
  <si>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</si>
  <si>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</si>
  <si>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</si>
  <si>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</si>
  <si>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</si>
  <si>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</si>
  <si>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</si>
  <si>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</si>
  <si>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</si>
  <si>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</si>
  <si>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</si>
  <si>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</si>
  <si>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</si>
  <si>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</si>
  <si>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</si>
  <si>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</si>
  <si>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</si>
  <si>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</si>
  <si>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</si>
  <si>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</si>
  <si>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</si>
  <si>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</si>
  <si>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</si>
  <si>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</si>
  <si>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</si>
  <si>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</si>
  <si>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</si>
  <si>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</si>
  <si>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</si>
  <si>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</si>
  <si>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</si>
  <si>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</si>
  <si>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</si>
  <si>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</si>
  <si>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</si>
  <si>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</si>
  <si>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</si>
  <si>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</si>
  <si>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</si>
  <si>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</si>
  <si>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</si>
  <si>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</si>
  <si>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</si>
  <si>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</si>
  <si>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</si>
  <si>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</si>
  <si>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</si>
  <si>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</si>
  <si>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</si>
  <si>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</si>
  <si>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</si>
  <si>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</si>
  <si>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</si>
  <si>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</si>
  <si>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</si>
  <si>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</si>
  <si>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</si>
  <si>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</si>
  <si>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</si>
  <si>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</si>
  <si>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</si>
  <si>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</si>
  <si>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</si>
  <si>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</si>
  <si>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</si>
  <si>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</si>
  <si>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</si>
  <si>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</si>
  <si>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</si>
  <si>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</si>
  <si>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</si>
  <si>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</si>
  <si>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</si>
  <si>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</si>
  <si>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</si>
  <si>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</si>
  <si>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</si>
  <si>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</si>
  <si>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</si>
  <si>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</si>
  <si>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</si>
  <si>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</si>
  <si>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</si>
  <si>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</si>
  <si>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</si>
  <si>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</si>
  <si>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</si>
  <si>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</si>
  <si>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</si>
  <si>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</si>
  <si>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</si>
  <si>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</si>
  <si>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</si>
  <si>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</si>
  <si>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</si>
  <si>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</si>
  <si>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</si>
  <si>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</si>
  <si>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</si>
  <si>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</si>
  <si>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</si>
  <si>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</si>
  <si>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</si>
  <si>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</si>
  <si>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</si>
  <si>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</si>
  <si>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</si>
  <si>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</si>
  <si>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</si>
  <si>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</si>
  <si>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</si>
  <si>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</si>
  <si>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</si>
  <si>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</si>
  <si>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</si>
  <si>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</si>
  <si>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</si>
  <si>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</si>
  <si>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</si>
  <si>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</si>
  <si>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</si>
  <si>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</si>
  <si>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</si>
  <si>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</si>
  <si>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</si>
  <si>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</si>
  <si>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</si>
  <si>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</si>
  <si>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</si>
  <si>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</si>
  <si>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</si>
  <si>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</si>
  <si>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</si>
  <si>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</si>
  <si>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</si>
  <si>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</si>
  <si>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</si>
  <si>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</si>
  <si>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</si>
  <si>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</si>
  <si>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</si>
  <si>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</si>
  <si>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</si>
  <si>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</si>
  <si>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</si>
  <si>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</si>
  <si>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</si>
  <si>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</si>
  <si>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</si>
  <si>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</si>
  <si>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</si>
  <si>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</si>
  <si>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</si>
  <si>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</si>
  <si>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</si>
  <si>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</si>
  <si>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</si>
  <si>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</si>
  <si>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</si>
  <si>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</si>
  <si>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</si>
  <si>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</si>
  <si>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</si>
  <si>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</si>
  <si>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</si>
  <si>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</si>
  <si>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</si>
  <si>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</si>
  <si>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</si>
  <si>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</si>
  <si>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</si>
  <si>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</si>
  <si>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</si>
  <si>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</si>
  <si>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</si>
  <si>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</si>
  <si>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</si>
  <si>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</si>
  <si>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</si>
  <si>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</si>
  <si>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</si>
  <si>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</si>
  <si>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</si>
  <si>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</si>
  <si>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</si>
  <si>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</si>
  <si>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</si>
  <si>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</si>
  <si>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</si>
  <si>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</si>
  <si>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</si>
  <si>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</si>
  <si>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</si>
  <si>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</si>
  <si>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</si>
  <si>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</si>
  <si>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</si>
  <si>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</si>
  <si>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</si>
  <si>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</si>
  <si>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</si>
  <si>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</si>
  <si>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</si>
  <si>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</si>
  <si>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</si>
  <si>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</si>
  <si>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</si>
  <si>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</si>
  <si>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</si>
  <si>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</si>
  <si>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</si>
  <si>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</si>
  <si>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</si>
  <si>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</si>
  <si>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</si>
  <si>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</si>
  <si>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</si>
  <si>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</si>
  <si>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</si>
  <si>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</si>
  <si>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</si>
  <si>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</si>
  <si>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</si>
  <si>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</si>
  <si>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</si>
  <si>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</si>
  <si>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</si>
  <si>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</si>
  <si>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</si>
  <si>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</si>
  <si>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</si>
  <si>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</si>
  <si>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</si>
  <si>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</si>
  <si>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</si>
  <si>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</si>
  <si>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</si>
  <si>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</si>
  <si>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</si>
  <si>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</si>
  <si>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</si>
  <si>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</si>
  <si>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</si>
  <si>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</si>
  <si>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</si>
  <si>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</si>
  <si>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</si>
  <si>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</si>
  <si>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</si>
  <si>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</si>
  <si>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</si>
  <si>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</si>
  <si>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</si>
  <si>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</si>
  <si>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</si>
  <si>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</si>
  <si>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</si>
  <si>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</si>
  <si>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</si>
  <si>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</si>
  <si>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</si>
  <si>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</si>
  <si>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</si>
  <si>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</si>
  <si>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</si>
  <si>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</si>
  <si>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</si>
  <si>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</si>
  <si>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</si>
  <si>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</si>
  <si>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</si>
  <si>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</si>
  <si>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</si>
  <si>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</si>
  <si>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</si>
  <si>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</si>
  <si>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</si>
  <si>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</si>
  <si>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</si>
  <si>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</si>
  <si>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</si>
  <si>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</si>
  <si>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</si>
  <si>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</si>
  <si>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</si>
  <si>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</si>
  <si>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</si>
  <si>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</si>
  <si>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</si>
  <si>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</si>
  <si>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</si>
  <si>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</si>
  <si>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</si>
  <si>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</si>
  <si>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</si>
  <si>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</si>
  <si>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</si>
  <si>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</si>
  <si>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</si>
  <si>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</si>
  <si>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</si>
  <si>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</si>
  <si>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</si>
  <si>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</si>
  <si>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</si>
  <si>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</si>
  <si>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</si>
  <si>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</si>
  <si>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</si>
  <si>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</si>
  <si>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</si>
  <si>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</si>
  <si>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</si>
  <si>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</si>
  <si>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</si>
  <si>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</si>
  <si>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</si>
  <si>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</si>
  <si>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</si>
  <si>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</si>
  <si>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</si>
  <si>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</si>
  <si>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</si>
  <si>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</si>
  <si>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</si>
  <si>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</si>
  <si>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</si>
  <si>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</si>
  <si>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</si>
  <si>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</si>
  <si>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</si>
  <si>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</si>
  <si>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</si>
  <si>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</si>
  <si>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</si>
  <si>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</si>
  <si>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</si>
  <si>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</si>
  <si>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</si>
  <si>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</si>
  <si>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</si>
  <si>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</si>
  <si>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</si>
  <si>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</si>
  <si>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</si>
  <si>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</si>
  <si>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</si>
  <si>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</si>
  <si>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</si>
  <si>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</si>
  <si>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</si>
  <si>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</si>
  <si>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</si>
  <si>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</si>
  <si>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</si>
  <si>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</si>
  <si>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</si>
  <si>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</si>
  <si>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</si>
  <si>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</si>
  <si>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</si>
  <si>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</si>
  <si>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</si>
  <si>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</si>
  <si>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</si>
  <si>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</si>
  <si>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</si>
  <si>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</si>
  <si>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</si>
  <si>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</si>
  <si>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</si>
  <si>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</si>
  <si>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</si>
  <si>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</si>
  <si>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</si>
  <si>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</si>
  <si>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</si>
  <si>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</si>
  <si>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</si>
  <si>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</si>
  <si>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</si>
  <si>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</si>
  <si>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</si>
  <si>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</si>
  <si>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</si>
  <si>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</si>
  <si>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</si>
  <si>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</si>
  <si>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</si>
  <si>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</si>
  <si>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</si>
  <si>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</si>
  <si>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</si>
  <si>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</si>
  <si>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</si>
  <si>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</si>
  <si>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</si>
  <si>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</si>
  <si>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</si>
  <si>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</si>
  <si>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</si>
  <si>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</si>
  <si>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</si>
  <si>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</si>
  <si>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</si>
  <si>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</si>
  <si>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</si>
  <si>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</si>
  <si>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</si>
  <si>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</si>
  <si>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</si>
  <si>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</si>
  <si>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</si>
  <si>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</si>
  <si>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</si>
  <si>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</si>
  <si>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</si>
  <si>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</si>
  <si>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</si>
  <si>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</si>
  <si>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</si>
  <si>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</si>
  <si>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</si>
  <si>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</si>
  <si>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</si>
  <si>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</si>
  <si>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</si>
  <si>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</si>
  <si>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</si>
  <si>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</si>
  <si>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</si>
  <si>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</si>
  <si>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</si>
  <si>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</si>
  <si>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</si>
  <si>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</si>
  <si>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</si>
  <si>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</si>
  <si>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</si>
  <si>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</si>
  <si>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</si>
  <si>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</si>
  <si>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</si>
  <si>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</si>
  <si>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</si>
  <si>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</si>
  <si>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</si>
  <si>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</si>
  <si>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</si>
  <si>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</si>
  <si>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</si>
  <si>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</si>
  <si>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</si>
  <si>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</si>
  <si>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</si>
  <si>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</si>
  <si>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</si>
  <si>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</si>
  <si>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</si>
  <si>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</si>
  <si>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</si>
  <si>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</si>
  <si>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</si>
  <si>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</si>
  <si>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</si>
  <si>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</si>
  <si>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</si>
  <si>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</si>
  <si>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</si>
  <si>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</si>
  <si>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</si>
  <si>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</si>
  <si>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</si>
  <si>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</si>
  <si>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</si>
  <si>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</si>
  <si>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</si>
  <si>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</si>
  <si>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</si>
  <si>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</si>
  <si>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</si>
  <si>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</si>
  <si>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</si>
  <si>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</si>
  <si>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</si>
  <si>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</si>
  <si>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</si>
  <si>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</si>
  <si>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</si>
  <si>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</si>
  <si>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</si>
  <si>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</si>
  <si>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</si>
  <si>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</si>
  <si>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</si>
  <si>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</si>
  <si>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</si>
  <si>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</si>
  <si>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</si>
  <si>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</si>
  <si>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</si>
  <si>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73006</t>
  </si>
  <si>
    <t>BILZEN</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</si>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</sst>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F6B861DF-EFD7-446B-8038-FC994CB9332B}"/>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262640.71610626462</c:v>
                </c:pt>
                <c:pt idx="1">
                  <c:v>68649.515435696114</c:v>
                </c:pt>
                <c:pt idx="2">
                  <c:v>1749.175</c:v>
                </c:pt>
                <c:pt idx="3">
                  <c:v>6999.6895566505764</c:v>
                </c:pt>
                <c:pt idx="4">
                  <c:v>147792.99054126945</c:v>
                </c:pt>
                <c:pt idx="5">
                  <c:v>171311.39816882726</c:v>
                </c:pt>
                <c:pt idx="6">
                  <c:v>2958.892157949052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262640.71610626462</c:v>
                </c:pt>
                <c:pt idx="1">
                  <c:v>68649.515435696114</c:v>
                </c:pt>
                <c:pt idx="2">
                  <c:v>1749.175</c:v>
                </c:pt>
                <c:pt idx="3">
                  <c:v>6999.6895566505764</c:v>
                </c:pt>
                <c:pt idx="4">
                  <c:v>147792.99054126945</c:v>
                </c:pt>
                <c:pt idx="5">
                  <c:v>171311.39816882726</c:v>
                </c:pt>
                <c:pt idx="6">
                  <c:v>2958.892157949052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56366.155125657882</c:v>
                </c:pt>
                <c:pt idx="2">
                  <c:v>13323.802237763528</c:v>
                </c:pt>
                <c:pt idx="3">
                  <c:v>324.0434469534988</c:v>
                </c:pt>
                <c:pt idx="4">
                  <c:v>1711.9067613349112</c:v>
                </c:pt>
                <c:pt idx="5">
                  <c:v>30205.748674834736</c:v>
                </c:pt>
                <c:pt idx="6">
                  <c:v>42933.581124260265</c:v>
                </c:pt>
                <c:pt idx="7">
                  <c:v>746.03228435983237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56366.155125657882</c:v>
                </c:pt>
                <c:pt idx="2">
                  <c:v>13323.802237763528</c:v>
                </c:pt>
                <c:pt idx="3">
                  <c:v>324.0434469534988</c:v>
                </c:pt>
                <c:pt idx="4">
                  <c:v>1711.9067613349112</c:v>
                </c:pt>
                <c:pt idx="5">
                  <c:v>30205.748674834736</c:v>
                </c:pt>
                <c:pt idx="6">
                  <c:v>42933.581124260265</c:v>
                </c:pt>
                <c:pt idx="7">
                  <c:v>746.03228435983237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73006</v>
      </c>
      <c r="B6" s="381"/>
      <c r="C6" s="382"/>
    </row>
    <row r="7" spans="1:7" s="379" customFormat="1" ht="15.75" customHeight="1">
      <c r="A7" s="383" t="str">
        <f>txtMunicipality</f>
        <v>BILZEN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0.1852550184821409</v>
      </c>
      <c r="C17" s="489">
        <f ca="1">'EF ele_warmte'!B22</f>
        <v>0.23764705882352938</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0.1852550184821409</v>
      </c>
      <c r="C29" s="490">
        <f ca="1">'EF ele_warmte'!B22</f>
        <v>0.23764705882352938</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12712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3592</v>
      </c>
      <c r="C14" s="322"/>
      <c r="D14" s="322"/>
      <c r="E14" s="322"/>
      <c r="F14" s="322"/>
    </row>
    <row r="15" spans="1:6">
      <c r="A15" s="1261" t="s">
        <v>177</v>
      </c>
      <c r="B15" s="1262">
        <v>27</v>
      </c>
      <c r="C15" s="322"/>
      <c r="D15" s="322"/>
      <c r="E15" s="322"/>
      <c r="F15" s="322"/>
    </row>
    <row r="16" spans="1:6">
      <c r="A16" s="1261" t="s">
        <v>6</v>
      </c>
      <c r="B16" s="1262">
        <v>1223</v>
      </c>
      <c r="C16" s="322"/>
      <c r="D16" s="322"/>
      <c r="E16" s="322"/>
      <c r="F16" s="322"/>
    </row>
    <row r="17" spans="1:6">
      <c r="A17" s="1261" t="s">
        <v>7</v>
      </c>
      <c r="B17" s="1262">
        <v>801</v>
      </c>
      <c r="C17" s="322"/>
      <c r="D17" s="322"/>
      <c r="E17" s="322"/>
      <c r="F17" s="322"/>
    </row>
    <row r="18" spans="1:6">
      <c r="A18" s="1261" t="s">
        <v>8</v>
      </c>
      <c r="B18" s="1262">
        <v>1209</v>
      </c>
      <c r="C18" s="322"/>
      <c r="D18" s="322"/>
      <c r="E18" s="322"/>
      <c r="F18" s="322"/>
    </row>
    <row r="19" spans="1:6">
      <c r="A19" s="1261" t="s">
        <v>9</v>
      </c>
      <c r="B19" s="1262">
        <v>1056</v>
      </c>
      <c r="C19" s="322"/>
      <c r="D19" s="322"/>
      <c r="E19" s="322"/>
      <c r="F19" s="322"/>
    </row>
    <row r="20" spans="1:6">
      <c r="A20" s="1261" t="s">
        <v>10</v>
      </c>
      <c r="B20" s="1262">
        <v>786</v>
      </c>
      <c r="C20" s="322"/>
      <c r="D20" s="322"/>
      <c r="E20" s="322"/>
      <c r="F20" s="322"/>
    </row>
    <row r="21" spans="1:6">
      <c r="A21" s="1261" t="s">
        <v>11</v>
      </c>
      <c r="B21" s="1262">
        <v>3038</v>
      </c>
      <c r="C21" s="322"/>
      <c r="D21" s="322"/>
      <c r="E21" s="322"/>
      <c r="F21" s="322"/>
    </row>
    <row r="22" spans="1:6">
      <c r="A22" s="1261" t="s">
        <v>12</v>
      </c>
      <c r="B22" s="1262">
        <v>6857</v>
      </c>
      <c r="C22" s="322"/>
      <c r="D22" s="322"/>
      <c r="E22" s="322"/>
      <c r="F22" s="322"/>
    </row>
    <row r="23" spans="1:6">
      <c r="A23" s="1261" t="s">
        <v>13</v>
      </c>
      <c r="B23" s="1262">
        <v>91</v>
      </c>
      <c r="C23" s="322"/>
      <c r="D23" s="322"/>
      <c r="E23" s="322"/>
      <c r="F23" s="322"/>
    </row>
    <row r="24" spans="1:6">
      <c r="A24" s="1261" t="s">
        <v>14</v>
      </c>
      <c r="B24" s="1262">
        <v>7</v>
      </c>
      <c r="C24" s="322"/>
      <c r="D24" s="322"/>
      <c r="E24" s="322"/>
      <c r="F24" s="322"/>
    </row>
    <row r="25" spans="1:6">
      <c r="A25" s="1261" t="s">
        <v>15</v>
      </c>
      <c r="B25" s="1262">
        <v>953</v>
      </c>
      <c r="C25" s="322"/>
      <c r="D25" s="322"/>
      <c r="E25" s="322"/>
      <c r="F25" s="322"/>
    </row>
    <row r="26" spans="1:6">
      <c r="A26" s="1261" t="s">
        <v>16</v>
      </c>
      <c r="B26" s="1262">
        <v>112</v>
      </c>
      <c r="C26" s="322"/>
      <c r="D26" s="322"/>
      <c r="E26" s="322"/>
      <c r="F26" s="322"/>
    </row>
    <row r="27" spans="1:6">
      <c r="A27" s="1261" t="s">
        <v>17</v>
      </c>
      <c r="B27" s="1262">
        <v>0</v>
      </c>
      <c r="C27" s="322"/>
      <c r="D27" s="322"/>
      <c r="E27" s="322"/>
      <c r="F27" s="322"/>
    </row>
    <row r="28" spans="1:6">
      <c r="A28" s="1261" t="s">
        <v>18</v>
      </c>
      <c r="B28" s="1263">
        <v>26009</v>
      </c>
      <c r="C28" s="322"/>
      <c r="D28" s="322"/>
      <c r="E28" s="322"/>
      <c r="F28" s="322"/>
    </row>
    <row r="29" spans="1:6">
      <c r="A29" s="1261" t="s">
        <v>901</v>
      </c>
      <c r="B29" s="1263">
        <v>149</v>
      </c>
      <c r="C29" s="322"/>
      <c r="D29" s="322"/>
      <c r="E29" s="322"/>
      <c r="F29" s="322"/>
    </row>
    <row r="30" spans="1:6">
      <c r="A30" s="1256" t="s">
        <v>902</v>
      </c>
      <c r="B30" s="1264">
        <v>22</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173406</v>
      </c>
      <c r="E38" s="1262">
        <v>2</v>
      </c>
      <c r="F38" s="1262">
        <v>5642</v>
      </c>
    </row>
    <row r="39" spans="1:6">
      <c r="A39" s="1261" t="s">
        <v>29</v>
      </c>
      <c r="B39" s="1261" t="s">
        <v>30</v>
      </c>
      <c r="C39" s="1262">
        <v>5966</v>
      </c>
      <c r="D39" s="1262">
        <v>83143071</v>
      </c>
      <c r="E39" s="1262">
        <v>12986</v>
      </c>
      <c r="F39" s="1262">
        <v>45042612</v>
      </c>
    </row>
    <row r="40" spans="1:6">
      <c r="A40" s="1261" t="s">
        <v>29</v>
      </c>
      <c r="B40" s="1261" t="s">
        <v>28</v>
      </c>
      <c r="C40" s="1262">
        <v>0</v>
      </c>
      <c r="D40" s="1262">
        <v>0</v>
      </c>
      <c r="E40" s="1262">
        <v>0</v>
      </c>
      <c r="F40" s="1262">
        <v>0</v>
      </c>
    </row>
    <row r="41" spans="1:6">
      <c r="A41" s="1261" t="s">
        <v>31</v>
      </c>
      <c r="B41" s="1261" t="s">
        <v>32</v>
      </c>
      <c r="C41" s="1262">
        <v>105</v>
      </c>
      <c r="D41" s="1262">
        <v>5186997</v>
      </c>
      <c r="E41" s="1262">
        <v>249</v>
      </c>
      <c r="F41" s="1262">
        <v>11748023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8</v>
      </c>
      <c r="D44" s="1262">
        <v>3370515</v>
      </c>
      <c r="E44" s="1262">
        <v>27</v>
      </c>
      <c r="F44" s="1262">
        <v>859112</v>
      </c>
    </row>
    <row r="45" spans="1:6">
      <c r="A45" s="1261" t="s">
        <v>31</v>
      </c>
      <c r="B45" s="1261" t="s">
        <v>36</v>
      </c>
      <c r="C45" s="1262">
        <v>4</v>
      </c>
      <c r="D45" s="1262">
        <v>116329810</v>
      </c>
      <c r="E45" s="1262">
        <v>13</v>
      </c>
      <c r="F45" s="1262">
        <v>5887539</v>
      </c>
    </row>
    <row r="46" spans="1:6">
      <c r="A46" s="1261" t="s">
        <v>31</v>
      </c>
      <c r="B46" s="1261" t="s">
        <v>37</v>
      </c>
      <c r="C46" s="1262">
        <v>0</v>
      </c>
      <c r="D46" s="1262">
        <v>0</v>
      </c>
      <c r="E46" s="1262">
        <v>0</v>
      </c>
      <c r="F46" s="1262">
        <v>0</v>
      </c>
    </row>
    <row r="47" spans="1:6">
      <c r="A47" s="1261" t="s">
        <v>31</v>
      </c>
      <c r="B47" s="1261" t="s">
        <v>38</v>
      </c>
      <c r="C47" s="1262">
        <v>5</v>
      </c>
      <c r="D47" s="1262">
        <v>172435</v>
      </c>
      <c r="E47" s="1262">
        <v>10</v>
      </c>
      <c r="F47" s="1262">
        <v>622234</v>
      </c>
    </row>
    <row r="48" spans="1:6">
      <c r="A48" s="1261" t="s">
        <v>31</v>
      </c>
      <c r="B48" s="1261" t="s">
        <v>28</v>
      </c>
      <c r="C48" s="1262">
        <v>0</v>
      </c>
      <c r="D48" s="1262">
        <v>0</v>
      </c>
      <c r="E48" s="1262">
        <v>0</v>
      </c>
      <c r="F48" s="1262">
        <v>0</v>
      </c>
    </row>
    <row r="49" spans="1:6">
      <c r="A49" s="1261" t="s">
        <v>31</v>
      </c>
      <c r="B49" s="1261" t="s">
        <v>39</v>
      </c>
      <c r="C49" s="1262">
        <v>0</v>
      </c>
      <c r="D49" s="1262">
        <v>0</v>
      </c>
      <c r="E49" s="1262">
        <v>4</v>
      </c>
      <c r="F49" s="1262">
        <v>58554</v>
      </c>
    </row>
    <row r="50" spans="1:6">
      <c r="A50" s="1261" t="s">
        <v>31</v>
      </c>
      <c r="B50" s="1261" t="s">
        <v>40</v>
      </c>
      <c r="C50" s="1262">
        <v>6</v>
      </c>
      <c r="D50" s="1262">
        <v>647166</v>
      </c>
      <c r="E50" s="1262">
        <v>24</v>
      </c>
      <c r="F50" s="1262">
        <v>926656</v>
      </c>
    </row>
    <row r="51" spans="1:6">
      <c r="A51" s="1261" t="s">
        <v>41</v>
      </c>
      <c r="B51" s="1261" t="s">
        <v>42</v>
      </c>
      <c r="C51" s="1262">
        <v>15</v>
      </c>
      <c r="D51" s="1262">
        <v>875568</v>
      </c>
      <c r="E51" s="1262">
        <v>105</v>
      </c>
      <c r="F51" s="1262">
        <v>1423814</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127</v>
      </c>
      <c r="F54" s="1262">
        <v>1749175</v>
      </c>
    </row>
    <row r="55" spans="1:6">
      <c r="A55" s="1261" t="s">
        <v>45</v>
      </c>
      <c r="B55" s="1261" t="s">
        <v>28</v>
      </c>
      <c r="C55" s="1262">
        <v>0</v>
      </c>
      <c r="D55" s="1262">
        <v>0</v>
      </c>
      <c r="E55" s="1262">
        <v>0</v>
      </c>
      <c r="F55" s="1262">
        <v>0</v>
      </c>
    </row>
    <row r="56" spans="1:6">
      <c r="A56" s="1261" t="s">
        <v>47</v>
      </c>
      <c r="B56" s="1261" t="s">
        <v>28</v>
      </c>
      <c r="C56" s="1262">
        <v>102</v>
      </c>
      <c r="D56" s="1262">
        <v>1859548</v>
      </c>
      <c r="E56" s="1262">
        <v>336</v>
      </c>
      <c r="F56" s="1262">
        <v>1564383</v>
      </c>
    </row>
    <row r="57" spans="1:6">
      <c r="A57" s="1261" t="s">
        <v>48</v>
      </c>
      <c r="B57" s="1261" t="s">
        <v>49</v>
      </c>
      <c r="C57" s="1262">
        <v>57</v>
      </c>
      <c r="D57" s="1262">
        <v>2196527</v>
      </c>
      <c r="E57" s="1262">
        <v>200</v>
      </c>
      <c r="F57" s="1262">
        <v>6123315.8757396452</v>
      </c>
    </row>
    <row r="58" spans="1:6">
      <c r="A58" s="1261" t="s">
        <v>48</v>
      </c>
      <c r="B58" s="1261" t="s">
        <v>50</v>
      </c>
      <c r="C58" s="1262">
        <v>34</v>
      </c>
      <c r="D58" s="1262">
        <v>7530393</v>
      </c>
      <c r="E58" s="1262">
        <v>67</v>
      </c>
      <c r="F58" s="1262">
        <v>3595924</v>
      </c>
    </row>
    <row r="59" spans="1:6">
      <c r="A59" s="1261" t="s">
        <v>48</v>
      </c>
      <c r="B59" s="1261" t="s">
        <v>51</v>
      </c>
      <c r="C59" s="1262">
        <v>169</v>
      </c>
      <c r="D59" s="1262">
        <v>7386646</v>
      </c>
      <c r="E59" s="1262">
        <v>392</v>
      </c>
      <c r="F59" s="1262">
        <v>11208221</v>
      </c>
    </row>
    <row r="60" spans="1:6">
      <c r="A60" s="1261" t="s">
        <v>48</v>
      </c>
      <c r="B60" s="1261" t="s">
        <v>52</v>
      </c>
      <c r="C60" s="1262">
        <v>73</v>
      </c>
      <c r="D60" s="1262">
        <v>3288963</v>
      </c>
      <c r="E60" s="1262">
        <v>139</v>
      </c>
      <c r="F60" s="1262">
        <v>3967314</v>
      </c>
    </row>
    <row r="61" spans="1:6">
      <c r="A61" s="1261" t="s">
        <v>48</v>
      </c>
      <c r="B61" s="1261" t="s">
        <v>53</v>
      </c>
      <c r="C61" s="1262">
        <v>152</v>
      </c>
      <c r="D61" s="1262">
        <v>5715690</v>
      </c>
      <c r="E61" s="1262">
        <v>451</v>
      </c>
      <c r="F61" s="1262">
        <v>5620178</v>
      </c>
    </row>
    <row r="62" spans="1:6">
      <c r="A62" s="1261" t="s">
        <v>48</v>
      </c>
      <c r="B62" s="1261" t="s">
        <v>54</v>
      </c>
      <c r="C62" s="1262">
        <v>19</v>
      </c>
      <c r="D62" s="1262">
        <v>2768510</v>
      </c>
      <c r="E62" s="1262">
        <v>38</v>
      </c>
      <c r="F62" s="1262">
        <v>1005676</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3</v>
      </c>
      <c r="D65" s="1262">
        <v>74960</v>
      </c>
      <c r="E65" s="1262">
        <v>1</v>
      </c>
      <c r="F65" s="1262">
        <v>16532</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11</v>
      </c>
      <c r="F68" s="1264">
        <v>98113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98172037</v>
      </c>
      <c r="E73" s="440"/>
      <c r="F73" s="322"/>
    </row>
    <row r="74" spans="1:6">
      <c r="A74" s="1261" t="s">
        <v>63</v>
      </c>
      <c r="B74" s="1261" t="s">
        <v>670</v>
      </c>
      <c r="C74" s="1274" t="s">
        <v>672</v>
      </c>
      <c r="D74" s="1262">
        <v>6206990.9963749927</v>
      </c>
      <c r="E74" s="440"/>
      <c r="F74" s="322"/>
    </row>
    <row r="75" spans="1:6">
      <c r="A75" s="1261" t="s">
        <v>64</v>
      </c>
      <c r="B75" s="1261" t="s">
        <v>669</v>
      </c>
      <c r="C75" s="1274" t="s">
        <v>673</v>
      </c>
      <c r="D75" s="1262">
        <v>37000750</v>
      </c>
      <c r="E75" s="440"/>
      <c r="F75" s="322"/>
    </row>
    <row r="76" spans="1:6">
      <c r="A76" s="1261" t="s">
        <v>64</v>
      </c>
      <c r="B76" s="1261" t="s">
        <v>670</v>
      </c>
      <c r="C76" s="1274" t="s">
        <v>674</v>
      </c>
      <c r="D76" s="1262">
        <v>582527.99637499277</v>
      </c>
      <c r="E76" s="440"/>
      <c r="F76" s="322"/>
    </row>
    <row r="77" spans="1:6">
      <c r="A77" s="1261" t="s">
        <v>65</v>
      </c>
      <c r="B77" s="1261" t="s">
        <v>669</v>
      </c>
      <c r="C77" s="1274" t="s">
        <v>675</v>
      </c>
      <c r="D77" s="1262">
        <v>49386234</v>
      </c>
      <c r="E77" s="440"/>
      <c r="F77" s="322"/>
    </row>
    <row r="78" spans="1:6">
      <c r="A78" s="1256" t="s">
        <v>65</v>
      </c>
      <c r="B78" s="1256" t="s">
        <v>670</v>
      </c>
      <c r="C78" s="1256" t="s">
        <v>676</v>
      </c>
      <c r="D78" s="1264">
        <v>9767316</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794708.00725001446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4029.4634443269933</v>
      </c>
      <c r="C90" s="322"/>
      <c r="D90" s="322"/>
      <c r="E90" s="322"/>
      <c r="F90" s="322"/>
    </row>
    <row r="91" spans="1:6">
      <c r="A91" s="1261" t="s">
        <v>67</v>
      </c>
      <c r="B91" s="1262">
        <v>8554.9907492215934</v>
      </c>
      <c r="C91" s="322"/>
      <c r="D91" s="322"/>
      <c r="E91" s="322"/>
      <c r="F91" s="322"/>
    </row>
    <row r="92" spans="1:6">
      <c r="A92" s="1256" t="s">
        <v>68</v>
      </c>
      <c r="B92" s="1257">
        <v>6305.8064527190236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1612</v>
      </c>
      <c r="C97" s="322"/>
      <c r="D97" s="322"/>
      <c r="E97" s="322"/>
      <c r="F97" s="322"/>
    </row>
    <row r="98" spans="1:6">
      <c r="A98" s="1261" t="s">
        <v>71</v>
      </c>
      <c r="B98" s="1262">
        <v>4</v>
      </c>
      <c r="C98" s="322"/>
      <c r="D98" s="322"/>
      <c r="E98" s="322"/>
      <c r="F98" s="322"/>
    </row>
    <row r="99" spans="1:6">
      <c r="A99" s="1261" t="s">
        <v>72</v>
      </c>
      <c r="B99" s="1262">
        <v>46</v>
      </c>
      <c r="C99" s="322"/>
      <c r="D99" s="322"/>
      <c r="E99" s="322"/>
      <c r="F99" s="322"/>
    </row>
    <row r="100" spans="1:6">
      <c r="A100" s="1261" t="s">
        <v>73</v>
      </c>
      <c r="B100" s="1262">
        <v>530</v>
      </c>
      <c r="C100" s="322"/>
      <c r="D100" s="322"/>
      <c r="E100" s="322"/>
      <c r="F100" s="322"/>
    </row>
    <row r="101" spans="1:6">
      <c r="A101" s="1261" t="s">
        <v>74</v>
      </c>
      <c r="B101" s="1262">
        <v>102</v>
      </c>
      <c r="C101" s="322"/>
      <c r="D101" s="322"/>
      <c r="E101" s="322"/>
      <c r="F101" s="322"/>
    </row>
    <row r="102" spans="1:6">
      <c r="A102" s="1261" t="s">
        <v>75</v>
      </c>
      <c r="B102" s="1262">
        <v>145</v>
      </c>
      <c r="C102" s="322"/>
      <c r="D102" s="322"/>
      <c r="E102" s="322"/>
      <c r="F102" s="322"/>
    </row>
    <row r="103" spans="1:6">
      <c r="A103" s="1261" t="s">
        <v>76</v>
      </c>
      <c r="B103" s="1262">
        <v>254</v>
      </c>
      <c r="C103" s="322"/>
      <c r="D103" s="322"/>
      <c r="E103" s="322"/>
      <c r="F103" s="322"/>
    </row>
    <row r="104" spans="1:6">
      <c r="A104" s="1261" t="s">
        <v>77</v>
      </c>
      <c r="B104" s="1262">
        <v>8045</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27</v>
      </c>
      <c r="C123" s="1262">
        <v>63</v>
      </c>
      <c r="D123" s="322"/>
      <c r="E123" s="322"/>
      <c r="F123" s="322"/>
    </row>
    <row r="124" spans="1:6">
      <c r="A124" s="1261" t="s">
        <v>88</v>
      </c>
      <c r="B124" s="1262">
        <v>3</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287</v>
      </c>
      <c r="C129" s="322"/>
      <c r="D129" s="322"/>
      <c r="E129" s="322"/>
      <c r="F129" s="322"/>
    </row>
    <row r="130" spans="1:6">
      <c r="A130" s="1261" t="s">
        <v>284</v>
      </c>
      <c r="B130" s="1262">
        <v>1</v>
      </c>
      <c r="C130" s="322"/>
      <c r="D130" s="322"/>
      <c r="E130" s="322"/>
      <c r="F130" s="322"/>
    </row>
    <row r="131" spans="1:6">
      <c r="A131" s="1261" t="s">
        <v>285</v>
      </c>
      <c r="B131" s="1262">
        <v>0</v>
      </c>
      <c r="C131" s="322"/>
      <c r="D131" s="322"/>
      <c r="E131" s="322"/>
      <c r="F131" s="322"/>
    </row>
    <row r="132" spans="1:6">
      <c r="A132" s="1256" t="s">
        <v>286</v>
      </c>
      <c r="B132" s="1257">
        <v>38</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114633.95170957975</v>
      </c>
      <c r="C3" s="43" t="s">
        <v>163</v>
      </c>
      <c r="D3" s="43"/>
      <c r="E3" s="153"/>
      <c r="F3" s="43"/>
      <c r="G3" s="43"/>
      <c r="H3" s="43"/>
      <c r="I3" s="43"/>
      <c r="J3" s="43"/>
      <c r="K3" s="96"/>
    </row>
    <row r="4" spans="1:11">
      <c r="A4" s="349" t="s">
        <v>164</v>
      </c>
      <c r="B4" s="49">
        <f>IF(ISERROR('SEAP template'!B78+'SEAP template'!C78),0,'SEAP template'!B78+'SEAP template'!C78)</f>
        <v>23525.260646267612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1101.4941176470588</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0.1852550184821409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1573.5630252100839</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6621.4285714285716</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0.23764705882352938</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1749.175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1749.175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0.1852550184821409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324.0434469534988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45042.612000000001</v>
      </c>
      <c r="C5" s="17">
        <f>IF(ISERROR('Eigen informatie GS &amp; warmtenet'!B57),0,'Eigen informatie GS &amp; warmtenet'!B57)</f>
        <v>0</v>
      </c>
      <c r="D5" s="30">
        <f>(SUM(HH_hh_gas_kWh,HH_rest_gas_kWh)/1000)*0.902</f>
        <v>74995.050042000003</v>
      </c>
      <c r="E5" s="17">
        <f>B32*B41</f>
        <v>3511.3768630869558</v>
      </c>
      <c r="F5" s="17">
        <f>B36*B45</f>
        <v>110772.98521829689</v>
      </c>
      <c r="G5" s="18"/>
      <c r="H5" s="17"/>
      <c r="I5" s="17"/>
      <c r="J5" s="17">
        <f>B35*B44+C35*C44</f>
        <v>2583.2218306846926</v>
      </c>
      <c r="K5" s="17"/>
      <c r="L5" s="17"/>
      <c r="M5" s="17"/>
      <c r="N5" s="17">
        <f>B34*B43+C34*C43</f>
        <v>15336.779402974493</v>
      </c>
      <c r="O5" s="17">
        <f>B52*B53*B54</f>
        <v>547.16666666666663</v>
      </c>
      <c r="P5" s="17">
        <f>B60*B61*B62/1000-B60*B61*B62/1000/B63</f>
        <v>1296.5333333333333</v>
      </c>
    </row>
    <row r="6" spans="1:16">
      <c r="A6" s="16" t="s">
        <v>593</v>
      </c>
      <c r="B6" s="717">
        <f>kWh_PV_kleiner_dan_10kW</f>
        <v>8554.9907492215934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53597.602749221594</v>
      </c>
      <c r="C8" s="21">
        <f>C5</f>
        <v>0</v>
      </c>
      <c r="D8" s="21">
        <f>D5</f>
        <v>74995.050042000003</v>
      </c>
      <c r="E8" s="21">
        <f>E5</f>
        <v>3511.3768630869558</v>
      </c>
      <c r="F8" s="21">
        <f>F5</f>
        <v>110772.98521829689</v>
      </c>
      <c r="G8" s="21"/>
      <c r="H8" s="21"/>
      <c r="I8" s="21"/>
      <c r="J8" s="21">
        <f>J5</f>
        <v>2583.2218306846926</v>
      </c>
      <c r="K8" s="21"/>
      <c r="L8" s="21">
        <f>L5</f>
        <v>0</v>
      </c>
      <c r="M8" s="21">
        <f>M5</f>
        <v>0</v>
      </c>
      <c r="N8" s="21">
        <f>N5</f>
        <v>15336.779402974493</v>
      </c>
      <c r="O8" s="21">
        <f>O5</f>
        <v>547.16666666666663</v>
      </c>
      <c r="P8" s="21">
        <f>P5</f>
        <v>1296.5333333333333</v>
      </c>
    </row>
    <row r="9" spans="1:16">
      <c r="B9" s="19"/>
      <c r="C9" s="19"/>
      <c r="D9" s="253"/>
      <c r="E9" s="19"/>
      <c r="F9" s="19"/>
      <c r="G9" s="19"/>
      <c r="H9" s="19"/>
      <c r="I9" s="19"/>
      <c r="J9" s="19"/>
      <c r="K9" s="19"/>
      <c r="L9" s="19"/>
      <c r="M9" s="19"/>
      <c r="N9" s="19"/>
      <c r="O9" s="19"/>
      <c r="P9" s="19"/>
    </row>
    <row r="10" spans="1:16">
      <c r="A10" s="24" t="s">
        <v>207</v>
      </c>
      <c r="B10" s="25">
        <f ca="1">'EF ele_warmte'!B12</f>
        <v>0.1852550184821409</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9929.2248879054932</v>
      </c>
      <c r="C12" s="23">
        <f ca="1">C10*C8</f>
        <v>0</v>
      </c>
      <c r="D12" s="23">
        <f>D8*D10</f>
        <v>15149.000108484002</v>
      </c>
      <c r="E12" s="23">
        <f>E10*E8</f>
        <v>797.08254792073899</v>
      </c>
      <c r="F12" s="23">
        <f>F10*F8</f>
        <v>29576.387053285271</v>
      </c>
      <c r="G12" s="23"/>
      <c r="H12" s="23"/>
      <c r="I12" s="23"/>
      <c r="J12" s="23">
        <f>J10*J8</f>
        <v>914.46052806238117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12712</v>
      </c>
      <c r="C26" s="36"/>
      <c r="D26" s="224"/>
    </row>
    <row r="27" spans="1:5" s="15" customFormat="1">
      <c r="A27" s="226" t="s">
        <v>696</v>
      </c>
      <c r="B27" s="37">
        <f>SUM(HH_hh_gas_aantal,HH_rest_gas_aantal)</f>
        <v>5966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5667.7</v>
      </c>
      <c r="C31" s="34" t="s">
        <v>104</v>
      </c>
      <c r="D31" s="170"/>
    </row>
    <row r="32" spans="1:5">
      <c r="A32" s="167" t="s">
        <v>72</v>
      </c>
      <c r="B32" s="33">
        <f>IF((B21*($B$26-($B$27-0.05*$B$27)-$B$60))&lt;0,0,B21*($B$26-($B$27-0.05*$B$27)-$B$60))</f>
        <v>43.987109422577291</v>
      </c>
      <c r="C32" s="34" t="s">
        <v>104</v>
      </c>
      <c r="D32" s="170"/>
    </row>
    <row r="33" spans="1:6">
      <c r="A33" s="167" t="s">
        <v>73</v>
      </c>
      <c r="B33" s="33">
        <f>IF((B22*($B$26-($B$27-0.05*$B$27)-$B$60))&lt;0,0,B22*($B$26-($B$27-0.05*$B$27)-$B$60))</f>
        <v>1531.7909427043869</v>
      </c>
      <c r="C33" s="34" t="s">
        <v>104</v>
      </c>
      <c r="D33" s="170"/>
    </row>
    <row r="34" spans="1:6">
      <c r="A34" s="167" t="s">
        <v>74</v>
      </c>
      <c r="B34" s="33">
        <f>IF((B24*($B$26-($B$27-0.05*$B$27)-$B$60))&lt;0,0,B24*($B$26-($B$27-0.05*$B$27)-$B$60))</f>
        <v>304.05372559752971</v>
      </c>
      <c r="C34" s="33">
        <f>B26*C24</f>
        <v>2600.871162980231</v>
      </c>
      <c r="D34" s="229"/>
    </row>
    <row r="35" spans="1:6">
      <c r="A35" s="167" t="s">
        <v>76</v>
      </c>
      <c r="B35" s="33">
        <f>IF((B19*($B$26-($B$27-0.05*$B$27)-$B$60))&lt;0,0,B19*($B$26-($B$27-0.05*$B$27)-$B$60))</f>
        <v>148.54753636159381</v>
      </c>
      <c r="C35" s="33">
        <f>B35/2</f>
        <v>74.273768180796907</v>
      </c>
      <c r="D35" s="229"/>
    </row>
    <row r="36" spans="1:6">
      <c r="A36" s="167" t="s">
        <v>77</v>
      </c>
      <c r="B36" s="33">
        <f>IF((B18*($B$26-($B$27-0.05*$B$27)-$B$60))&lt;0,0,B18*($B$26-($B$27-0.05*$B$27)-$B$60))</f>
        <v>4947.9206859139149</v>
      </c>
      <c r="C36" s="34" t="s">
        <v>104</v>
      </c>
      <c r="D36" s="170"/>
    </row>
    <row r="37" spans="1:6">
      <c r="A37" s="167" t="s">
        <v>78</v>
      </c>
      <c r="B37" s="33">
        <f>B60</f>
        <v>68</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350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68</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31520.628875739643</v>
      </c>
      <c r="C5" s="17">
        <f>IF(ISERROR('Eigen informatie GS &amp; warmtenet'!B58),0,'Eigen informatie GS &amp; warmtenet'!B58)</f>
        <v>0</v>
      </c>
      <c r="D5" s="30">
        <f>SUM(D6:D12)</f>
        <v>26055.829558000001</v>
      </c>
      <c r="E5" s="17">
        <f>SUM(E6:E12)</f>
        <v>546.41326620694451</v>
      </c>
      <c r="F5" s="17">
        <f>SUM(F6:F12)</f>
        <v>7854.4350961599175</v>
      </c>
      <c r="G5" s="18"/>
      <c r="H5" s="17"/>
      <c r="I5" s="17"/>
      <c r="J5" s="17">
        <f>SUM(J6:J12)</f>
        <v>0</v>
      </c>
      <c r="K5" s="17"/>
      <c r="L5" s="17"/>
      <c r="M5" s="17"/>
      <c r="N5" s="17">
        <f>SUM(N6:N12)</f>
        <v>2670.6453062562659</v>
      </c>
      <c r="O5" s="17">
        <f>B38*B39*B40</f>
        <v>1.5633333333333335</v>
      </c>
      <c r="P5" s="17">
        <f>B46*B47*B48/1000-B46*B47*B48/1000/B49</f>
        <v>0</v>
      </c>
      <c r="R5" s="32"/>
    </row>
    <row r="6" spans="1:18">
      <c r="A6" s="32" t="s">
        <v>53</v>
      </c>
      <c r="B6" s="37">
        <f>B26</f>
        <v>5620.1779999999999</v>
      </c>
      <c r="C6" s="33"/>
      <c r="D6" s="37">
        <f>IF(ISERROR(TER_kantoor_gas_kWh/1000),0,TER_kantoor_gas_kWh/1000)*0.902</f>
        <v>5155.5523800000001</v>
      </c>
      <c r="E6" s="33">
        <f>$C$26*'E Balans VL '!I12/100/3.6*1000000</f>
        <v>7.8817321478599975E-2</v>
      </c>
      <c r="F6" s="33">
        <f>$C$26*('E Balans VL '!L12+'E Balans VL '!N12)/100/3.6*1000000</f>
        <v>781.19551984440852</v>
      </c>
      <c r="G6" s="34"/>
      <c r="H6" s="33"/>
      <c r="I6" s="33"/>
      <c r="J6" s="33">
        <f>$C$26*('E Balans VL '!D12+'E Balans VL '!E12)/100/3.6*1000000</f>
        <v>0</v>
      </c>
      <c r="K6" s="33"/>
      <c r="L6" s="33"/>
      <c r="M6" s="33"/>
      <c r="N6" s="33">
        <f>$C$26*'E Balans VL '!Y12/100/3.6*1000000</f>
        <v>69.559722301866159</v>
      </c>
      <c r="O6" s="33"/>
      <c r="P6" s="33"/>
      <c r="R6" s="32"/>
    </row>
    <row r="7" spans="1:18">
      <c r="A7" s="32" t="s">
        <v>52</v>
      </c>
      <c r="B7" s="37">
        <f t="shared" ref="B7:B12" si="0">B27</f>
        <v>3967.3139999999999</v>
      </c>
      <c r="C7" s="33"/>
      <c r="D7" s="37">
        <f>IF(ISERROR(TER_horeca_gas_kWh/1000),0,TER_horeca_gas_kWh/1000)*0.902</f>
        <v>2966.6446260000002</v>
      </c>
      <c r="E7" s="33">
        <f>$C$27*'E Balans VL '!I9/100/3.6*1000000</f>
        <v>56.630392148440613</v>
      </c>
      <c r="F7" s="33">
        <f>$C$27*('E Balans VL '!L9+'E Balans VL '!N9)/100/3.6*1000000</f>
        <v>616.75780073860528</v>
      </c>
      <c r="G7" s="34"/>
      <c r="H7" s="33"/>
      <c r="I7" s="33"/>
      <c r="J7" s="33">
        <f>$C$27*('E Balans VL '!D9+'E Balans VL '!E9)/100/3.6*1000000</f>
        <v>0</v>
      </c>
      <c r="K7" s="33"/>
      <c r="L7" s="33"/>
      <c r="M7" s="33"/>
      <c r="N7" s="33">
        <f>$C$27*'E Balans VL '!Y9/100/3.6*1000000</f>
        <v>1.0223143954285643</v>
      </c>
      <c r="O7" s="33"/>
      <c r="P7" s="33"/>
      <c r="R7" s="32"/>
    </row>
    <row r="8" spans="1:18">
      <c r="A8" s="6" t="s">
        <v>51</v>
      </c>
      <c r="B8" s="37">
        <f t="shared" si="0"/>
        <v>11208.221</v>
      </c>
      <c r="C8" s="33"/>
      <c r="D8" s="37">
        <f>IF(ISERROR(TER_handel_gas_kWh/1000),0,TER_handel_gas_kWh/1000)*0.902</f>
        <v>6662.7546919999995</v>
      </c>
      <c r="E8" s="33">
        <f>$C$28*'E Balans VL '!I13/100/3.6*1000000</f>
        <v>303.3531026556156</v>
      </c>
      <c r="F8" s="33">
        <f>$C$28*('E Balans VL '!L13+'E Balans VL '!N13)/100/3.6*1000000</f>
        <v>1740.4278674308434</v>
      </c>
      <c r="G8" s="34"/>
      <c r="H8" s="33"/>
      <c r="I8" s="33"/>
      <c r="J8" s="33">
        <f>$C$28*('E Balans VL '!D13+'E Balans VL '!E13)/100/3.6*1000000</f>
        <v>0</v>
      </c>
      <c r="K8" s="33"/>
      <c r="L8" s="33"/>
      <c r="M8" s="33"/>
      <c r="N8" s="33">
        <f>$C$28*'E Balans VL '!Y13/100/3.6*1000000</f>
        <v>90.816621769461491</v>
      </c>
      <c r="O8" s="33"/>
      <c r="P8" s="33"/>
      <c r="R8" s="32"/>
    </row>
    <row r="9" spans="1:18">
      <c r="A9" s="32" t="s">
        <v>50</v>
      </c>
      <c r="B9" s="37">
        <f t="shared" si="0"/>
        <v>3595.924</v>
      </c>
      <c r="C9" s="33"/>
      <c r="D9" s="37">
        <f>IF(ISERROR(TER_gezond_gas_kWh/1000),0,TER_gezond_gas_kWh/1000)*0.902</f>
        <v>6792.4144860000006</v>
      </c>
      <c r="E9" s="33">
        <f>$C$29*'E Balans VL '!I10/100/3.6*1000000</f>
        <v>0.22438378834821701</v>
      </c>
      <c r="F9" s="33">
        <f>$C$29*('E Balans VL '!L10+'E Balans VL '!N10)/100/3.6*1000000</f>
        <v>465.5265998555771</v>
      </c>
      <c r="G9" s="34"/>
      <c r="H9" s="33"/>
      <c r="I9" s="33"/>
      <c r="J9" s="33">
        <f>$C$29*('E Balans VL '!D10+'E Balans VL '!E10)/100/3.6*1000000</f>
        <v>0</v>
      </c>
      <c r="K9" s="33"/>
      <c r="L9" s="33"/>
      <c r="M9" s="33"/>
      <c r="N9" s="33">
        <f>$C$29*'E Balans VL '!Y10/100/3.6*1000000</f>
        <v>29.483062878420387</v>
      </c>
      <c r="O9" s="33"/>
      <c r="P9" s="33"/>
      <c r="R9" s="32"/>
    </row>
    <row r="10" spans="1:18">
      <c r="A10" s="32" t="s">
        <v>49</v>
      </c>
      <c r="B10" s="37">
        <f t="shared" si="0"/>
        <v>6123.315875739645</v>
      </c>
      <c r="C10" s="33"/>
      <c r="D10" s="37">
        <f>IF(ISERROR(TER_ander_gas_kWh/1000),0,TER_ander_gas_kWh/1000)*0.902</f>
        <v>1981.2673540000001</v>
      </c>
      <c r="E10" s="33">
        <f>$C$30*'E Balans VL '!I14/100/3.6*1000000</f>
        <v>184.86004756424603</v>
      </c>
      <c r="F10" s="33">
        <f>$C$30*('E Balans VL '!L14+'E Balans VL '!N14)/100/3.6*1000000</f>
        <v>3876.9644110563595</v>
      </c>
      <c r="G10" s="34"/>
      <c r="H10" s="33"/>
      <c r="I10" s="33"/>
      <c r="J10" s="33">
        <f>$C$30*('E Balans VL '!D14+'E Balans VL '!E14)/100/3.6*1000000</f>
        <v>0</v>
      </c>
      <c r="K10" s="33"/>
      <c r="L10" s="33"/>
      <c r="M10" s="33"/>
      <c r="N10" s="33">
        <f>$C$30*'E Balans VL '!Y14/100/3.6*1000000</f>
        <v>2478.4900815104152</v>
      </c>
      <c r="O10" s="33"/>
      <c r="P10" s="33"/>
      <c r="R10" s="32"/>
    </row>
    <row r="11" spans="1:18">
      <c r="A11" s="32" t="s">
        <v>54</v>
      </c>
      <c r="B11" s="37">
        <f t="shared" si="0"/>
        <v>1005.676</v>
      </c>
      <c r="C11" s="33"/>
      <c r="D11" s="37">
        <f>IF(ISERROR(TER_onderwijs_gas_kWh/1000),0,TER_onderwijs_gas_kWh/1000)*0.902</f>
        <v>2497.1960200000003</v>
      </c>
      <c r="E11" s="33">
        <f>$C$31*'E Balans VL '!I11/100/3.6*1000000</f>
        <v>1.2665227288153871</v>
      </c>
      <c r="F11" s="33">
        <f>$C$31*('E Balans VL '!L11+'E Balans VL '!N11)/100/3.6*1000000</f>
        <v>373.56289723412357</v>
      </c>
      <c r="G11" s="34"/>
      <c r="H11" s="33"/>
      <c r="I11" s="33"/>
      <c r="J11" s="33">
        <f>$C$31*('E Balans VL '!D11+'E Balans VL '!E11)/100/3.6*1000000</f>
        <v>0</v>
      </c>
      <c r="K11" s="33"/>
      <c r="L11" s="33"/>
      <c r="M11" s="33"/>
      <c r="N11" s="33">
        <f>$C$31*'E Balans VL '!Y11/100/3.6*1000000</f>
        <v>1.2735034006741244</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31520.628875739643</v>
      </c>
      <c r="C16" s="21">
        <f t="shared" ca="1" si="1"/>
        <v>0</v>
      </c>
      <c r="D16" s="21">
        <f t="shared" ca="1" si="1"/>
        <v>26055.829558000001</v>
      </c>
      <c r="E16" s="21">
        <f t="shared" si="1"/>
        <v>546.41326620694451</v>
      </c>
      <c r="F16" s="21">
        <f t="shared" ca="1" si="1"/>
        <v>7854.4350961599175</v>
      </c>
      <c r="G16" s="21">
        <f t="shared" si="1"/>
        <v>0</v>
      </c>
      <c r="H16" s="21">
        <f t="shared" si="1"/>
        <v>0</v>
      </c>
      <c r="I16" s="21">
        <f t="shared" si="1"/>
        <v>0</v>
      </c>
      <c r="J16" s="21">
        <f t="shared" si="1"/>
        <v>0</v>
      </c>
      <c r="K16" s="21">
        <f t="shared" si="1"/>
        <v>0</v>
      </c>
      <c r="L16" s="21">
        <f t="shared" ca="1" si="1"/>
        <v>0</v>
      </c>
      <c r="M16" s="21">
        <f t="shared" si="1"/>
        <v>0</v>
      </c>
      <c r="N16" s="21">
        <f t="shared" ca="1" si="1"/>
        <v>2670.6453062562659</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0.1852550184821409</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5839.3546849438517</v>
      </c>
      <c r="C20" s="23">
        <f t="shared" ref="C20:P20" ca="1" si="2">C16*C18</f>
        <v>0</v>
      </c>
      <c r="D20" s="23">
        <f t="shared" ca="1" si="2"/>
        <v>5263.2775707160008</v>
      </c>
      <c r="E20" s="23">
        <f t="shared" si="2"/>
        <v>124.0358114289764</v>
      </c>
      <c r="F20" s="23">
        <f t="shared" ca="1" si="2"/>
        <v>2097.134170674698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5620.1779999999999</v>
      </c>
      <c r="C26" s="39">
        <f>IF(ISERROR(B26*3.6/1000000/'E Balans VL '!Z12*100),0,B26*3.6/1000000/'E Balans VL '!Z12*100)</f>
        <v>0.1526545654703686</v>
      </c>
      <c r="D26" s="232" t="s">
        <v>651</v>
      </c>
      <c r="F26" s="6"/>
    </row>
    <row r="27" spans="1:18">
      <c r="A27" s="227" t="s">
        <v>52</v>
      </c>
      <c r="B27" s="33">
        <f>IF(ISERROR(TER_horeca_ele_kWh/1000),0,TER_horeca_ele_kWh/1000)</f>
        <v>3967.3139999999999</v>
      </c>
      <c r="C27" s="39">
        <f>IF(ISERROR(B27*3.6/1000000/'E Balans VL '!Z9*100),0,B27*3.6/1000000/'E Balans VL '!Z9*100)</f>
        <v>0.31880458001604689</v>
      </c>
      <c r="D27" s="232" t="s">
        <v>651</v>
      </c>
      <c r="F27" s="6"/>
    </row>
    <row r="28" spans="1:18">
      <c r="A28" s="167" t="s">
        <v>51</v>
      </c>
      <c r="B28" s="33">
        <f>IF(ISERROR(TER_handel_ele_kWh/1000),0,TER_handel_ele_kWh/1000)</f>
        <v>11208.221</v>
      </c>
      <c r="C28" s="39">
        <f>IF(ISERROR(B28*3.6/1000000/'E Balans VL '!Z13*100),0,B28*3.6/1000000/'E Balans VL '!Z13*100)</f>
        <v>0.33103624069701842</v>
      </c>
      <c r="D28" s="232" t="s">
        <v>651</v>
      </c>
      <c r="F28" s="6"/>
    </row>
    <row r="29" spans="1:18">
      <c r="A29" s="227" t="s">
        <v>50</v>
      </c>
      <c r="B29" s="33">
        <f>IF(ISERROR(TER_gezond_ele_kWh/1000),0,TER_gezond_ele_kWh/1000)</f>
        <v>3595.924</v>
      </c>
      <c r="C29" s="39">
        <f>IF(ISERROR(B29*3.6/1000000/'E Balans VL '!Z10*100),0,B29*3.6/1000000/'E Balans VL '!Z10*100)</f>
        <v>0.41125141801407072</v>
      </c>
      <c r="D29" s="232" t="s">
        <v>651</v>
      </c>
      <c r="F29" s="6"/>
    </row>
    <row r="30" spans="1:18">
      <c r="A30" s="227" t="s">
        <v>49</v>
      </c>
      <c r="B30" s="33">
        <f>IF(ISERROR(TER_ander_ele_kWh/1000),0,TER_ander_ele_kWh/1000)</f>
        <v>6123.315875739645</v>
      </c>
      <c r="C30" s="39">
        <f>IF(ISERROR(B30*3.6/1000000/'E Balans VL '!Z14*100),0,B30*3.6/1000000/'E Balans VL '!Z14*100)</f>
        <v>0.28615530948830581</v>
      </c>
      <c r="D30" s="232" t="s">
        <v>651</v>
      </c>
      <c r="F30" s="6"/>
    </row>
    <row r="31" spans="1:18">
      <c r="A31" s="227" t="s">
        <v>54</v>
      </c>
      <c r="B31" s="33">
        <f>IF(ISERROR(TER_onderwijs_ele_kWh/1000),0,TER_onderwijs_ele_kWh/1000)</f>
        <v>1005.676</v>
      </c>
      <c r="C31" s="39">
        <f>IF(ISERROR(B31*3.6/1000000/'E Balans VL '!Z11*100),0,B31*3.6/1000000/'E Balans VL '!Z11*100)</f>
        <v>0.26556741550539575</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20102.117999999999</v>
      </c>
      <c r="C5" s="17">
        <f>IF(ISERROR('Eigen informatie GS &amp; warmtenet'!B59),0,'Eigen informatie GS &amp; warmtenet'!B59)</f>
        <v>0</v>
      </c>
      <c r="D5" s="30">
        <f>SUM(D6:D15)</f>
        <v>113387.64454600001</v>
      </c>
      <c r="E5" s="17">
        <f>SUM(E6:E15)</f>
        <v>3280.4463708831381</v>
      </c>
      <c r="F5" s="17">
        <f>SUM(F6:F15)</f>
        <v>11478.129761054281</v>
      </c>
      <c r="G5" s="18"/>
      <c r="H5" s="17"/>
      <c r="I5" s="17"/>
      <c r="J5" s="17">
        <f>SUM(J6:J15)</f>
        <v>30.907823482847924</v>
      </c>
      <c r="K5" s="17"/>
      <c r="L5" s="17"/>
      <c r="M5" s="17"/>
      <c r="N5" s="17">
        <f>SUM(N6:N15)</f>
        <v>1500.1726112777508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859.11199999999997</v>
      </c>
      <c r="C8" s="33"/>
      <c r="D8" s="37">
        <f>IF( ISERROR(IND_metaal_Gas_kWH/1000),0,IND_metaal_Gas_kWH/1000)*0.902</f>
        <v>3040.20453</v>
      </c>
      <c r="E8" s="33">
        <f>C30*'E Balans VL '!I18/100/3.6*1000000</f>
        <v>21.500566532417078</v>
      </c>
      <c r="F8" s="33">
        <f>C30*'E Balans VL '!L18/100/3.6*1000000+C30*'E Balans VL '!N18/100/3.6*1000000</f>
        <v>269.24997424286244</v>
      </c>
      <c r="G8" s="34"/>
      <c r="H8" s="33"/>
      <c r="I8" s="33"/>
      <c r="J8" s="40">
        <f>C30*'E Balans VL '!D18/100/3.6*1000000+C30*'E Balans VL '!E18/100/3.6*1000000</f>
        <v>0</v>
      </c>
      <c r="K8" s="33"/>
      <c r="L8" s="33"/>
      <c r="M8" s="33"/>
      <c r="N8" s="33">
        <f>C30*'E Balans VL '!Y18/100/3.6*1000000</f>
        <v>21.583123030061753</v>
      </c>
      <c r="O8" s="33"/>
      <c r="P8" s="33"/>
      <c r="R8" s="32"/>
    </row>
    <row r="9" spans="1:18">
      <c r="A9" s="6" t="s">
        <v>32</v>
      </c>
      <c r="B9" s="37">
        <f t="shared" si="0"/>
        <v>11748.022999999999</v>
      </c>
      <c r="C9" s="33"/>
      <c r="D9" s="37">
        <f>IF( ISERROR(IND_andere_gas_kWh/1000),0,IND_andere_gas_kWh/1000)*0.902</f>
        <v>4678.6712940000007</v>
      </c>
      <c r="E9" s="33">
        <f>C31*'E Balans VL '!I19/100/3.6*1000000</f>
        <v>3230.2244791835333</v>
      </c>
      <c r="F9" s="33">
        <f>C31*'E Balans VL '!L19/100/3.6*1000000+C31*'E Balans VL '!N19/100/3.6*1000000</f>
        <v>9259.4864267787689</v>
      </c>
      <c r="G9" s="34"/>
      <c r="H9" s="33"/>
      <c r="I9" s="33"/>
      <c r="J9" s="40">
        <f>C31*'E Balans VL '!D19/100/3.6*1000000+C31*'E Balans VL '!E19/100/3.6*1000000</f>
        <v>0</v>
      </c>
      <c r="K9" s="33"/>
      <c r="L9" s="33"/>
      <c r="M9" s="33"/>
      <c r="N9" s="33">
        <f>C31*'E Balans VL '!Y19/100/3.6*1000000</f>
        <v>946.42813596099165</v>
      </c>
      <c r="O9" s="33"/>
      <c r="P9" s="33"/>
      <c r="R9" s="32"/>
    </row>
    <row r="10" spans="1:18">
      <c r="A10" s="6" t="s">
        <v>40</v>
      </c>
      <c r="B10" s="37">
        <f t="shared" si="0"/>
        <v>926.65599999999995</v>
      </c>
      <c r="C10" s="33"/>
      <c r="D10" s="37">
        <f>IF( ISERROR(IND_voed_gas_kWh/1000),0,IND_voed_gas_kWh/1000)*0.902</f>
        <v>583.74373200000002</v>
      </c>
      <c r="E10" s="33">
        <f>C32*'E Balans VL '!I20/100/3.6*1000000</f>
        <v>9.4467474222966885</v>
      </c>
      <c r="F10" s="33">
        <f>C32*'E Balans VL '!L20/100/3.6*1000000+C32*'E Balans VL '!N20/100/3.6*1000000</f>
        <v>1750.4473883261819</v>
      </c>
      <c r="G10" s="34"/>
      <c r="H10" s="33"/>
      <c r="I10" s="33"/>
      <c r="J10" s="40">
        <f>C32*'E Balans VL '!D20/100/3.6*1000000+C32*'E Balans VL '!E20/100/3.6*1000000</f>
        <v>22.177910112159214</v>
      </c>
      <c r="K10" s="33"/>
      <c r="L10" s="33"/>
      <c r="M10" s="33"/>
      <c r="N10" s="33">
        <f>C32*'E Balans VL '!Y20/100/3.6*1000000</f>
        <v>488.45444968264468</v>
      </c>
      <c r="O10" s="33"/>
      <c r="P10" s="33"/>
      <c r="R10" s="32"/>
    </row>
    <row r="11" spans="1:18">
      <c r="A11" s="6" t="s">
        <v>39</v>
      </c>
      <c r="B11" s="37">
        <f t="shared" si="0"/>
        <v>58.554000000000002</v>
      </c>
      <c r="C11" s="33"/>
      <c r="D11" s="37">
        <f>IF( ISERROR(IND_textiel_gas_kWh/1000),0,IND_textiel_gas_kWh/1000)*0.902</f>
        <v>0</v>
      </c>
      <c r="E11" s="33">
        <f>C33*'E Balans VL '!I21/100/3.6*1000000</f>
        <v>0.15519674564163782</v>
      </c>
      <c r="F11" s="33">
        <f>C33*'E Balans VL '!L21/100/3.6*1000000+C33*'E Balans VL '!N21/100/3.6*1000000</f>
        <v>2.6150820429487229</v>
      </c>
      <c r="G11" s="34"/>
      <c r="H11" s="33"/>
      <c r="I11" s="33"/>
      <c r="J11" s="40">
        <f>C33*'E Balans VL '!D21/100/3.6*1000000+C33*'E Balans VL '!E21/100/3.6*1000000</f>
        <v>0</v>
      </c>
      <c r="K11" s="33"/>
      <c r="L11" s="33"/>
      <c r="M11" s="33"/>
      <c r="N11" s="33">
        <f>C33*'E Balans VL '!Y21/100/3.6*1000000</f>
        <v>0.5518295931350522</v>
      </c>
      <c r="O11" s="33"/>
      <c r="P11" s="33"/>
      <c r="R11" s="32"/>
    </row>
    <row r="12" spans="1:18">
      <c r="A12" s="6" t="s">
        <v>36</v>
      </c>
      <c r="B12" s="37">
        <f t="shared" si="0"/>
        <v>5887.5389999999998</v>
      </c>
      <c r="C12" s="33"/>
      <c r="D12" s="37">
        <f>IF( ISERROR(IND_min_gas_kWh/1000),0,IND_min_gas_kWh/1000)*0.902</f>
        <v>104929.48862</v>
      </c>
      <c r="E12" s="33">
        <f>C34*'E Balans VL '!I22/100/3.6*1000000</f>
        <v>17.830692385465959</v>
      </c>
      <c r="F12" s="33">
        <f>C34*'E Balans VL '!L22/100/3.6*1000000+C34*'E Balans VL '!N22/100/3.6*1000000</f>
        <v>183.99065547984787</v>
      </c>
      <c r="G12" s="34"/>
      <c r="H12" s="33"/>
      <c r="I12" s="33"/>
      <c r="J12" s="40">
        <f>C34*'E Balans VL '!D22/100/3.6*1000000+C34*'E Balans VL '!E22/100/3.6*1000000</f>
        <v>8.7299133706887098</v>
      </c>
      <c r="K12" s="33"/>
      <c r="L12" s="33"/>
      <c r="M12" s="33"/>
      <c r="N12" s="33">
        <f>C34*'E Balans VL '!Y22/100/3.6*1000000</f>
        <v>0</v>
      </c>
      <c r="O12" s="33"/>
      <c r="P12" s="33"/>
      <c r="R12" s="32"/>
    </row>
    <row r="13" spans="1:18">
      <c r="A13" s="6" t="s">
        <v>38</v>
      </c>
      <c r="B13" s="37">
        <f t="shared" si="0"/>
        <v>622.23400000000004</v>
      </c>
      <c r="C13" s="33"/>
      <c r="D13" s="37">
        <f>IF( ISERROR(IND_papier_gas_kWh/1000),0,IND_papier_gas_kWh/1000)*0.902</f>
        <v>155.53637000000001</v>
      </c>
      <c r="E13" s="33">
        <f>C35*'E Balans VL '!I23/100/3.6*1000000</f>
        <v>1.2886886137836628</v>
      </c>
      <c r="F13" s="33">
        <f>C35*'E Balans VL '!L23/100/3.6*1000000+C35*'E Balans VL '!N23/100/3.6*1000000</f>
        <v>12.340234183671527</v>
      </c>
      <c r="G13" s="34"/>
      <c r="H13" s="33"/>
      <c r="I13" s="33"/>
      <c r="J13" s="40">
        <f>C35*'E Balans VL '!D23/100/3.6*1000000+C35*'E Balans VL '!E23/100/3.6*1000000</f>
        <v>0</v>
      </c>
      <c r="K13" s="33"/>
      <c r="L13" s="33"/>
      <c r="M13" s="33"/>
      <c r="N13" s="33">
        <f>C35*'E Balans VL '!Y23/100/3.6*1000000</f>
        <v>43.155073010917434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ISERROR(IND_rest_gas_kWh/1000),0,IND_rest_gas_kWh/1000)*0.902</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480</v>
      </c>
      <c r="B16" s="242">
        <f>'lokale energieproductie'!N37+'lokale energieproductie'!N30</f>
        <v>4635</v>
      </c>
      <c r="C16" s="242">
        <f>'lokale energieproductie'!O37+'lokale energieproductie'!O30</f>
        <v>6621.4285714285716</v>
      </c>
      <c r="D16" s="300">
        <f>('lokale energieproductie'!P30+'lokale energieproductie'!P37)*(-1)</f>
        <v>-13242.857142857143</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24737.117999999999</v>
      </c>
      <c r="C18" s="21">
        <f>C5+C16</f>
        <v>6621.4285714285716</v>
      </c>
      <c r="D18" s="21">
        <f>MAX((D5+D16),0)</f>
        <v>100144.78740314287</v>
      </c>
      <c r="E18" s="21">
        <f>MAX((E5+E16),0)</f>
        <v>3280.4463708831381</v>
      </c>
      <c r="F18" s="21">
        <f>MAX((F5+F16),0)</f>
        <v>11478.129761054281</v>
      </c>
      <c r="G18" s="21"/>
      <c r="H18" s="21"/>
      <c r="I18" s="21"/>
      <c r="J18" s="21">
        <f>MAX((J5+J16),0)</f>
        <v>30.907823482847924</v>
      </c>
      <c r="K18" s="21"/>
      <c r="L18" s="21">
        <f>MAX((L5+L16),0)</f>
        <v>0</v>
      </c>
      <c r="M18" s="21"/>
      <c r="N18" s="21">
        <f>MAX((N5+N16),0)</f>
        <v>1500.1726112777508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0.1852550184821409</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4582.6752522849001</v>
      </c>
      <c r="C22" s="23">
        <f ca="1">C18*C20</f>
        <v>1573.5630252100839</v>
      </c>
      <c r="D22" s="23">
        <f>D18*D20</f>
        <v>20229.247055434858</v>
      </c>
      <c r="E22" s="23">
        <f>E18*E20</f>
        <v>744.66132619047232</v>
      </c>
      <c r="F22" s="23">
        <f>F18*F20</f>
        <v>3064.6606462014929</v>
      </c>
      <c r="G22" s="23"/>
      <c r="H22" s="23"/>
      <c r="I22" s="23"/>
      <c r="J22" s="23">
        <f>J18*J20</f>
        <v>10.941369512928164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859.11199999999997</v>
      </c>
      <c r="C30" s="39">
        <f>IF(ISERROR(B30*3.6/1000000/'E Balans VL '!Z18*100),0,B30*3.6/1000000/'E Balans VL '!Z18*100)</f>
        <v>0.12024704977631318</v>
      </c>
      <c r="D30" s="232" t="s">
        <v>651</v>
      </c>
    </row>
    <row r="31" spans="1:18">
      <c r="A31" s="6" t="s">
        <v>32</v>
      </c>
      <c r="B31" s="37">
        <f>IF( ISERROR(IND_ander_ele_kWh/1000),0,IND_ander_ele_kWh/1000)</f>
        <v>11748.022999999999</v>
      </c>
      <c r="C31" s="39">
        <f>IF(ISERROR(B31*3.6/1000000/'E Balans VL '!Z19*100),0,B31*3.6/1000000/'E Balans VL '!Z19*100)</f>
        <v>0.51420906090990415</v>
      </c>
      <c r="D31" s="232" t="s">
        <v>651</v>
      </c>
    </row>
    <row r="32" spans="1:18">
      <c r="A32" s="167" t="s">
        <v>40</v>
      </c>
      <c r="B32" s="37">
        <f>IF( ISERROR(IND_voed_ele_kWh/1000),0,IND_voed_ele_kWh/1000)</f>
        <v>926.65599999999995</v>
      </c>
      <c r="C32" s="39">
        <f>IF(ISERROR(B32*3.6/1000000/'E Balans VL '!Z20*100),0,B32*3.6/1000000/'E Balans VL '!Z20*100)</f>
        <v>0.22940925287211958</v>
      </c>
      <c r="D32" s="232" t="s">
        <v>651</v>
      </c>
    </row>
    <row r="33" spans="1:5">
      <c r="A33" s="167" t="s">
        <v>39</v>
      </c>
      <c r="B33" s="37">
        <f>IF( ISERROR(IND_textiel_ele_kWh/1000),0,IND_textiel_ele_kWh/1000)</f>
        <v>58.554000000000002</v>
      </c>
      <c r="C33" s="39">
        <f>IF(ISERROR(B33*3.6/1000000/'E Balans VL '!Z21*100),0,B33*3.6/1000000/'E Balans VL '!Z21*100)</f>
        <v>6.5980043617873381E-3</v>
      </c>
      <c r="D33" s="232" t="s">
        <v>651</v>
      </c>
    </row>
    <row r="34" spans="1:5">
      <c r="A34" s="167" t="s">
        <v>36</v>
      </c>
      <c r="B34" s="37">
        <f>IF( ISERROR(IND_min_ele_kWh/1000),0,IND_min_ele_kWh/1000)</f>
        <v>5887.5389999999998</v>
      </c>
      <c r="C34" s="39">
        <f>IF(ISERROR(B34*3.6/1000000/'E Balans VL '!Z22*100),0,B34*3.6/1000000/'E Balans VL '!Z22*100)</f>
        <v>0.16706433695181472</v>
      </c>
      <c r="D34" s="232" t="s">
        <v>651</v>
      </c>
    </row>
    <row r="35" spans="1:5">
      <c r="A35" s="167" t="s">
        <v>38</v>
      </c>
      <c r="B35" s="37">
        <f>IF( ISERROR(IND_papier_ele_kWh/1000),0,IND_papier_ele_kWh/1000)</f>
        <v>622.23400000000004</v>
      </c>
      <c r="C35" s="39">
        <f>IF(ISERROR(B35*3.6/1000000/'E Balans VL '!Z22*100),0,B35*3.6/1000000/'E Balans VL '!Z22*100)</f>
        <v>1.7656462341714509E-2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0</v>
      </c>
      <c r="C37" s="39">
        <f>IF(ISERROR(B37*3.6/1000000/'E Balans VL '!Z15*100),0,B37*3.6/1000000/'E Balans VL '!Z15*100)</f>
        <v>0</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1423.8140000000001</v>
      </c>
      <c r="C5" s="17">
        <f>'Eigen informatie GS &amp; warmtenet'!B60</f>
        <v>0</v>
      </c>
      <c r="D5" s="30">
        <f>IF(ISERROR(SUM(LB_lb_gas_kWh,LB_rest_gas_kWh)/1000),0,SUM(LB_lb_gas_kWh,LB_rest_gas_kWh)/1000)*0.902</f>
        <v>789.762336</v>
      </c>
      <c r="E5" s="17">
        <f>B17*'E Balans VL '!I25/3.6*1000000/100</f>
        <v>30.531611601299268</v>
      </c>
      <c r="F5" s="17">
        <f>B17*('E Balans VL '!L25/3.6*1000000+'E Balans VL '!N25/3.6*1000000)/100</f>
        <v>4618.3963776914807</v>
      </c>
      <c r="G5" s="18"/>
      <c r="H5" s="17"/>
      <c r="I5" s="17"/>
      <c r="J5" s="17">
        <f>('E Balans VL '!D25+'E Balans VL '!E25)/3.6*1000000*landbouw!B17/100</f>
        <v>137.18523135779608</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1423.8140000000001</v>
      </c>
      <c r="C8" s="21">
        <f>C5+C6</f>
        <v>0</v>
      </c>
      <c r="D8" s="21">
        <f>MAX((D5+D6),0)</f>
        <v>789.762336</v>
      </c>
      <c r="E8" s="21">
        <f>MAX((E5+E6),0)</f>
        <v>30.531611601299268</v>
      </c>
      <c r="F8" s="21">
        <f>MAX((F5+F6),0)</f>
        <v>4618.3963776914807</v>
      </c>
      <c r="G8" s="21"/>
      <c r="H8" s="21"/>
      <c r="I8" s="21"/>
      <c r="J8" s="21">
        <f>MAX((J5+J6),0)</f>
        <v>137.18523135779608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0.1852550184821409</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263.76868888513098</v>
      </c>
      <c r="C12" s="23">
        <f ca="1">C8*C10</f>
        <v>0</v>
      </c>
      <c r="D12" s="23">
        <f>D8*D10</f>
        <v>159.53199187200002</v>
      </c>
      <c r="E12" s="23">
        <f>E8*E10</f>
        <v>6.9306758334949343</v>
      </c>
      <c r="F12" s="23">
        <f>F8*F10</f>
        <v>1233.1118328436255</v>
      </c>
      <c r="G12" s="23"/>
      <c r="H12" s="23"/>
      <c r="I12" s="23"/>
      <c r="J12" s="23">
        <f>J8*J10</f>
        <v>48.563571900659809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0.20243616072487358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346.12790997469398</v>
      </c>
      <c r="C26" s="242">
        <f>B26*'GWP N2O_CH4'!B5</f>
        <v>7268.6861094685737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99.189641396960354</v>
      </c>
      <c r="C27" s="242">
        <f>B27*'GWP N2O_CH4'!B5</f>
        <v>2082.9824693361675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5.0186463024015291</v>
      </c>
      <c r="C28" s="242">
        <f>B28*'GWP N2O_CH4'!B4</f>
        <v>1555.780353744474</v>
      </c>
      <c r="D28" s="50"/>
    </row>
    <row r="29" spans="1:4">
      <c r="A29" s="41" t="s">
        <v>266</v>
      </c>
      <c r="B29" s="242">
        <f>B34*'ha_N2O bodem landbouw'!B4</f>
        <v>23.778275434141044</v>
      </c>
      <c r="C29" s="242">
        <f>B29*'GWP N2O_CH4'!B4</f>
        <v>7371.265384583724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5.3330482706195363E-3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9.5537212004793295E-5</v>
      </c>
      <c r="C5" s="428" t="s">
        <v>204</v>
      </c>
      <c r="D5" s="413">
        <f>SUM(D6:D11)</f>
        <v>1.5013224207755308E-4</v>
      </c>
      <c r="E5" s="413">
        <f>SUM(E6:E11)</f>
        <v>1.5260557060149534E-3</v>
      </c>
      <c r="F5" s="426" t="s">
        <v>204</v>
      </c>
      <c r="G5" s="413">
        <f>SUM(G6:G11)</f>
        <v>0.49082807735029949</v>
      </c>
      <c r="H5" s="413">
        <f>SUM(H6:H11)</f>
        <v>9.2832752163318197E-2</v>
      </c>
      <c r="I5" s="428" t="s">
        <v>204</v>
      </c>
      <c r="J5" s="428" t="s">
        <v>204</v>
      </c>
      <c r="K5" s="428" t="s">
        <v>204</v>
      </c>
      <c r="L5" s="428" t="s">
        <v>204</v>
      </c>
      <c r="M5" s="413">
        <f>SUM(M6:M11)</f>
        <v>3.1288478734063166E-2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4.6047519822493543E-5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6.9643501326728934E-5</v>
      </c>
      <c r="E6" s="819">
        <f>vkm_GW_PW*SUMIFS(TableVerdeelsleutelVkm[LPG],TableVerdeelsleutelVkm[Voertuigtype],"Lichte voertuigen")*SUMIFS(TableECFTransport[EnergieConsumptieFactor (PJ per km)],TableECFTransport[Index],CONCATENATE($A6,"_LPG_LPG"))</f>
        <v>6.8033269931373264E-4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0.15796395959704942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4.3026390922221401E-2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1.0470728887649284E-2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1.5130310656368325E-6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5.8070454086912443E-2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1.3012147227585451E-6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3.3667989840354901E-3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1.9772186492606236E-5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4.50337284141746E-5</v>
      </c>
      <c r="E8" s="416">
        <f>vkm_NGW_PW*SUMIFS(TableVerdeelsleutelVkm[LPG],TableVerdeelsleutelVkm[Voertuigtype],"Lichte voertuigen")*SUMIFS(TableECFTransport[EnergieConsumptieFactor (PJ per km)],TableECFTransport[Index],CONCATENATE($A8,"_LPG_LPG"))</f>
        <v>4.1835918400407867E-4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9.0541553530076632E-2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2.681275150754216E-2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6.067207308131992E-3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1.4199842655375037E-7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7.0021475191554229E-3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1.4740122804861312E-7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4.0596903705328568E-4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2.5681571739203833E-5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3.545501233664955E-5</v>
      </c>
      <c r="E10" s="416">
        <f>vkm_SW_PW*SUMIFS(TableVerdeelsleutelVkm[LPG],TableVerdeelsleutelVkm[Voertuigtype],"Lichte voertuigen")*SUMIFS(TableECFTransport[EnergieConsumptieFactor (PJ per km)],TableECFTransport[Index],CONCATENATE($A10,"_LPG_LPG"))</f>
        <v>4.2736382269714196E-4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9.014460149994144E-2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2.2990053588741004E-2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5.9275898450866712E-3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2.3809044582991147E-6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8.7105361117164118E-2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2.1075288628265691E-6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5.0501846721064392E-3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26.538114445775918</v>
      </c>
      <c r="C14" s="21"/>
      <c r="D14" s="21">
        <f t="shared" ref="D14:M14" si="0">((D5)*10^9/3600)+D12</f>
        <v>41.703400577098073</v>
      </c>
      <c r="E14" s="21">
        <f t="shared" si="0"/>
        <v>423.90436278193147</v>
      </c>
      <c r="F14" s="21"/>
      <c r="G14" s="21">
        <f t="shared" si="0"/>
        <v>136341.1325973054</v>
      </c>
      <c r="H14" s="21">
        <f t="shared" si="0"/>
        <v>25786.875600921721</v>
      </c>
      <c r="I14" s="21"/>
      <c r="J14" s="21"/>
      <c r="K14" s="21"/>
      <c r="L14" s="21"/>
      <c r="M14" s="21">
        <f t="shared" si="0"/>
        <v>8691.2440927953248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0.1852550184821409</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4.9163188821333881</v>
      </c>
      <c r="C18" s="23"/>
      <c r="D18" s="23">
        <f t="shared" ref="D18:M18" si="1">D14*D16</f>
        <v>8.4240869165738115</v>
      </c>
      <c r="E18" s="23">
        <f t="shared" si="1"/>
        <v>96.226290351498449</v>
      </c>
      <c r="F18" s="23"/>
      <c r="G18" s="23">
        <f t="shared" si="1"/>
        <v>36403.082403480548</v>
      </c>
      <c r="H18" s="23">
        <f t="shared" si="1"/>
        <v>6420.9320246295083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5.2891092621866542E-5</v>
      </c>
      <c r="C50" s="311">
        <f t="shared" ref="C50:P50" si="2">SUM(C51:C52)</f>
        <v>0</v>
      </c>
      <c r="D50" s="311">
        <f t="shared" si="2"/>
        <v>0</v>
      </c>
      <c r="E50" s="311">
        <f t="shared" si="2"/>
        <v>0</v>
      </c>
      <c r="F50" s="311">
        <f t="shared" si="2"/>
        <v>0</v>
      </c>
      <c r="G50" s="311">
        <f t="shared" si="2"/>
        <v>1.0022164357131803E-2</v>
      </c>
      <c r="H50" s="311">
        <f t="shared" si="2"/>
        <v>0</v>
      </c>
      <c r="I50" s="311">
        <f t="shared" si="2"/>
        <v>0</v>
      </c>
      <c r="J50" s="311">
        <f t="shared" si="2"/>
        <v>0</v>
      </c>
      <c r="K50" s="311">
        <f t="shared" si="2"/>
        <v>0</v>
      </c>
      <c r="L50" s="311">
        <f t="shared" si="2"/>
        <v>0</v>
      </c>
      <c r="M50" s="311">
        <f t="shared" si="2"/>
        <v>5.7695631886291686E-4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5.2891092621866542E-5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1.0022164357131803E-2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5.7695631886291686E-4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14.691970172740707</v>
      </c>
      <c r="C54" s="21">
        <f t="shared" ref="C54:P54" si="3">(C50)*10^9/3600</f>
        <v>0</v>
      </c>
      <c r="D54" s="21">
        <f t="shared" si="3"/>
        <v>0</v>
      </c>
      <c r="E54" s="21">
        <f t="shared" si="3"/>
        <v>0</v>
      </c>
      <c r="F54" s="21">
        <f t="shared" si="3"/>
        <v>0</v>
      </c>
      <c r="G54" s="21">
        <f t="shared" si="3"/>
        <v>2783.9345436477233</v>
      </c>
      <c r="H54" s="21">
        <f t="shared" si="3"/>
        <v>0</v>
      </c>
      <c r="I54" s="21">
        <f t="shared" si="3"/>
        <v>0</v>
      </c>
      <c r="J54" s="21">
        <f t="shared" si="3"/>
        <v>0</v>
      </c>
      <c r="K54" s="21">
        <f t="shared" si="3"/>
        <v>0</v>
      </c>
      <c r="L54" s="21">
        <f t="shared" si="3"/>
        <v>0</v>
      </c>
      <c r="M54" s="21">
        <f t="shared" si="3"/>
        <v>160.26564412858804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0.1852550184821409</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2.7217612058901426</v>
      </c>
      <c r="C58" s="23">
        <f t="shared" ref="C58:P58" ca="1" si="4">C54*C56</f>
        <v>0</v>
      </c>
      <c r="D58" s="23">
        <f t="shared" si="4"/>
        <v>0</v>
      </c>
      <c r="E58" s="23">
        <f t="shared" si="4"/>
        <v>0</v>
      </c>
      <c r="F58" s="23">
        <f t="shared" si="4"/>
        <v>0</v>
      </c>
      <c r="G58" s="23">
        <f t="shared" si="4"/>
        <v>743.3105231539422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4029.4634443269933</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14860.797201940617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4635</v>
      </c>
      <c r="C8" s="535">
        <f>B48</f>
        <v>5452.9411764705883</v>
      </c>
      <c r="D8" s="974"/>
      <c r="E8" s="974">
        <f>E48</f>
        <v>0</v>
      </c>
      <c r="F8" s="975"/>
      <c r="G8" s="536"/>
      <c r="H8" s="974">
        <f>I48</f>
        <v>0</v>
      </c>
      <c r="I8" s="974">
        <f>G48+F48</f>
        <v>0</v>
      </c>
      <c r="J8" s="974">
        <f>H48+D48+C48</f>
        <v>0</v>
      </c>
      <c r="K8" s="974"/>
      <c r="L8" s="974"/>
      <c r="M8" s="974"/>
      <c r="N8" s="537"/>
      <c r="O8" s="538">
        <f>C8*$C$12+D8*$D$12+E8*$E$12+F8*$F$12+G8*$G$12+H8*$H$12+I8*$I$12+J8*$J$12</f>
        <v>1101.4941176470588</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23525.260646267612</v>
      </c>
      <c r="C10" s="548">
        <f t="shared" ref="C10:L10" si="0">SUM(C8:C9)</f>
        <v>5452.9411764705883</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1101.4941176470588</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6621.4285714285716</v>
      </c>
      <c r="C17" s="560">
        <f>B49</f>
        <v>7789.9159663865539</v>
      </c>
      <c r="D17" s="561"/>
      <c r="E17" s="561">
        <f>E49</f>
        <v>0</v>
      </c>
      <c r="F17" s="980"/>
      <c r="G17" s="562"/>
      <c r="H17" s="560">
        <f>I49</f>
        <v>0</v>
      </c>
      <c r="I17" s="561">
        <f>G49+F49</f>
        <v>0</v>
      </c>
      <c r="J17" s="561">
        <f>H49+D49+C49</f>
        <v>0</v>
      </c>
      <c r="K17" s="561"/>
      <c r="L17" s="561"/>
      <c r="M17" s="561"/>
      <c r="N17" s="981"/>
      <c r="O17" s="563">
        <f>C17*$C$22+E17*$E$22+H17*$H$22+I17*$I$22+J17*$J$22+D17*$D$22+F17*$F$22+G17*$G$22+K17*$K$22+L17*$L$22</f>
        <v>1573.5630252100839</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6621.4285714285716</v>
      </c>
      <c r="C20" s="547">
        <f>SUM(C17:C19)</f>
        <v>7789.9159663865539</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1573.5630252100839</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73006</v>
      </c>
      <c r="C28" s="725">
        <v>3740</v>
      </c>
      <c r="D28" s="618"/>
      <c r="E28" s="617"/>
      <c r="F28" s="617"/>
      <c r="G28" s="617" t="s">
        <v>904</v>
      </c>
      <c r="H28" s="617" t="s">
        <v>905</v>
      </c>
      <c r="I28" s="617"/>
      <c r="J28" s="724"/>
      <c r="K28" s="724"/>
      <c r="L28" s="617" t="s">
        <v>906</v>
      </c>
      <c r="M28" s="617">
        <v>1030</v>
      </c>
      <c r="N28" s="617">
        <v>4635</v>
      </c>
      <c r="O28" s="617">
        <v>6621.4285714285716</v>
      </c>
      <c r="P28" s="617">
        <v>13242.857142857143</v>
      </c>
      <c r="Q28" s="617">
        <v>0</v>
      </c>
      <c r="R28" s="617">
        <v>0</v>
      </c>
      <c r="S28" s="617">
        <v>0</v>
      </c>
      <c r="T28" s="617">
        <v>0</v>
      </c>
      <c r="U28" s="617">
        <v>0</v>
      </c>
      <c r="V28" s="617">
        <v>0</v>
      </c>
      <c r="W28" s="617">
        <v>0</v>
      </c>
      <c r="X28" s="617"/>
      <c r="Y28" s="617">
        <v>400</v>
      </c>
      <c r="Z28" s="617" t="s">
        <v>36</v>
      </c>
      <c r="AA28" s="619" t="s">
        <v>376</v>
      </c>
    </row>
    <row r="29" spans="1:27" s="555" customFormat="1" hidden="1">
      <c r="A29" s="573" t="s">
        <v>269</v>
      </c>
      <c r="B29" s="574"/>
      <c r="C29" s="574"/>
      <c r="D29" s="574"/>
      <c r="E29" s="574"/>
      <c r="F29" s="574"/>
      <c r="G29" s="574"/>
      <c r="H29" s="574"/>
      <c r="I29" s="574"/>
      <c r="J29" s="574"/>
      <c r="K29" s="574"/>
      <c r="L29" s="575"/>
      <c r="M29" s="575">
        <f>SUM(M28:M28)</f>
        <v>1030</v>
      </c>
      <c r="N29" s="575">
        <f>SUM(N28:N28)</f>
        <v>4635</v>
      </c>
      <c r="O29" s="575">
        <f>SUM(O28:O28)</f>
        <v>6621.4285714285716</v>
      </c>
      <c r="P29" s="575">
        <f>SUM(P28:P28)</f>
        <v>13242.857142857143</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1030</v>
      </c>
      <c r="N30" s="575">
        <f>SUMIF($AA$28:$AA$28,"industrie",N28:N28)</f>
        <v>4635</v>
      </c>
      <c r="O30" s="575">
        <f>SUMIF($AA$28:$AA$28,"industrie",O28:O28)</f>
        <v>6621.4285714285716</v>
      </c>
      <c r="P30" s="575">
        <f>SUMIF($AA$28:$AA$28,"industrie",P28:P28)</f>
        <v>13242.857142857143</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0.58823529411764697</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5452.9411764705883</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7789.9159663865539</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33269.803875739643</v>
      </c>
      <c r="D10" s="943">
        <f ca="1">tertiair!C16</f>
        <v>0</v>
      </c>
      <c r="E10" s="943">
        <f ca="1">tertiair!D16</f>
        <v>26055.829558000001</v>
      </c>
      <c r="F10" s="943">
        <f>tertiair!E16</f>
        <v>546.41326620694451</v>
      </c>
      <c r="G10" s="943">
        <f ca="1">tertiair!F16</f>
        <v>7854.4350961599175</v>
      </c>
      <c r="H10" s="943">
        <f>tertiair!G16</f>
        <v>0</v>
      </c>
      <c r="I10" s="943">
        <f>tertiair!H16</f>
        <v>0</v>
      </c>
      <c r="J10" s="943">
        <f>tertiair!I16</f>
        <v>0</v>
      </c>
      <c r="K10" s="943">
        <f>tertiair!J16</f>
        <v>0</v>
      </c>
      <c r="L10" s="943">
        <f>tertiair!K16</f>
        <v>0</v>
      </c>
      <c r="M10" s="943">
        <f ca="1">tertiair!L16</f>
        <v>0</v>
      </c>
      <c r="N10" s="943">
        <f>tertiair!M16</f>
        <v>0</v>
      </c>
      <c r="O10" s="943">
        <f ca="1">tertiair!N16</f>
        <v>2670.6453062562659</v>
      </c>
      <c r="P10" s="943">
        <f>tertiair!O16</f>
        <v>1.5633333333333335</v>
      </c>
      <c r="Q10" s="944">
        <f>tertiair!P16</f>
        <v>0</v>
      </c>
      <c r="R10" s="629">
        <f ca="1">SUM(C10:Q10)</f>
        <v>70398.690435696102</v>
      </c>
      <c r="S10" s="67"/>
    </row>
    <row r="11" spans="1:19" s="438" customFormat="1">
      <c r="A11" s="737" t="s">
        <v>214</v>
      </c>
      <c r="B11" s="742"/>
      <c r="C11" s="943">
        <f>huishoudens!B8</f>
        <v>53597.602749221594</v>
      </c>
      <c r="D11" s="943">
        <f>huishoudens!C8</f>
        <v>0</v>
      </c>
      <c r="E11" s="943">
        <f>huishoudens!D8</f>
        <v>74995.050042000003</v>
      </c>
      <c r="F11" s="943">
        <f>huishoudens!E8</f>
        <v>3511.3768630869558</v>
      </c>
      <c r="G11" s="943">
        <f>huishoudens!F8</f>
        <v>110772.98521829689</v>
      </c>
      <c r="H11" s="943">
        <f>huishoudens!G8</f>
        <v>0</v>
      </c>
      <c r="I11" s="943">
        <f>huishoudens!H8</f>
        <v>0</v>
      </c>
      <c r="J11" s="943">
        <f>huishoudens!I8</f>
        <v>0</v>
      </c>
      <c r="K11" s="943">
        <f>huishoudens!J8</f>
        <v>2583.2218306846926</v>
      </c>
      <c r="L11" s="943">
        <f>huishoudens!K8</f>
        <v>0</v>
      </c>
      <c r="M11" s="943">
        <f>huishoudens!L8</f>
        <v>0</v>
      </c>
      <c r="N11" s="943">
        <f>huishoudens!M8</f>
        <v>0</v>
      </c>
      <c r="O11" s="943">
        <f>huishoudens!N8</f>
        <v>15336.779402974493</v>
      </c>
      <c r="P11" s="943">
        <f>huishoudens!O8</f>
        <v>547.16666666666663</v>
      </c>
      <c r="Q11" s="944">
        <f>huishoudens!P8</f>
        <v>1296.5333333333333</v>
      </c>
      <c r="R11" s="629">
        <f>SUM(C11:Q11)</f>
        <v>262640.71610626462</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24737.117999999999</v>
      </c>
      <c r="D13" s="943">
        <f>industrie!C18</f>
        <v>6621.4285714285716</v>
      </c>
      <c r="E13" s="943">
        <f>industrie!D18</f>
        <v>100144.78740314287</v>
      </c>
      <c r="F13" s="943">
        <f>industrie!E18</f>
        <v>3280.4463708831381</v>
      </c>
      <c r="G13" s="943">
        <f>industrie!F18</f>
        <v>11478.129761054281</v>
      </c>
      <c r="H13" s="943">
        <f>industrie!G18</f>
        <v>0</v>
      </c>
      <c r="I13" s="943">
        <f>industrie!H18</f>
        <v>0</v>
      </c>
      <c r="J13" s="943">
        <f>industrie!I18</f>
        <v>0</v>
      </c>
      <c r="K13" s="943">
        <f>industrie!J18</f>
        <v>30.907823482847924</v>
      </c>
      <c r="L13" s="943">
        <f>industrie!K18</f>
        <v>0</v>
      </c>
      <c r="M13" s="943">
        <f>industrie!L18</f>
        <v>0</v>
      </c>
      <c r="N13" s="943">
        <f>industrie!M18</f>
        <v>0</v>
      </c>
      <c r="O13" s="943">
        <f>industrie!N18</f>
        <v>1500.1726112777508</v>
      </c>
      <c r="P13" s="943">
        <f>industrie!O18</f>
        <v>0</v>
      </c>
      <c r="Q13" s="944">
        <f>industrie!P18</f>
        <v>0</v>
      </c>
      <c r="R13" s="629">
        <f>SUM(C13:Q13)</f>
        <v>147792.99054126945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111604.52462496124</v>
      </c>
      <c r="D16" s="661">
        <f t="shared" ref="D16:R16" ca="1" si="0">SUM(D9:D15)</f>
        <v>6621.4285714285716</v>
      </c>
      <c r="E16" s="661">
        <f t="shared" ca="1" si="0"/>
        <v>201195.66700314288</v>
      </c>
      <c r="F16" s="661">
        <f t="shared" si="0"/>
        <v>7338.2365001770386</v>
      </c>
      <c r="G16" s="661">
        <f t="shared" ca="1" si="0"/>
        <v>130105.55007551108</v>
      </c>
      <c r="H16" s="661">
        <f t="shared" si="0"/>
        <v>0</v>
      </c>
      <c r="I16" s="661">
        <f t="shared" si="0"/>
        <v>0</v>
      </c>
      <c r="J16" s="661">
        <f t="shared" si="0"/>
        <v>0</v>
      </c>
      <c r="K16" s="661">
        <f t="shared" si="0"/>
        <v>2614.1296541675406</v>
      </c>
      <c r="L16" s="661">
        <f t="shared" si="0"/>
        <v>0</v>
      </c>
      <c r="M16" s="661">
        <f t="shared" ca="1" si="0"/>
        <v>0</v>
      </c>
      <c r="N16" s="661">
        <f t="shared" si="0"/>
        <v>0</v>
      </c>
      <c r="O16" s="661">
        <f t="shared" ca="1" si="0"/>
        <v>19507.59732050851</v>
      </c>
      <c r="P16" s="661">
        <f t="shared" si="0"/>
        <v>548.73</v>
      </c>
      <c r="Q16" s="661">
        <f t="shared" si="0"/>
        <v>1296.5333333333333</v>
      </c>
      <c r="R16" s="661">
        <f t="shared" ca="1" si="0"/>
        <v>480832.3970832302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14.691970172740707</v>
      </c>
      <c r="D19" s="943">
        <f>transport!C54</f>
        <v>0</v>
      </c>
      <c r="E19" s="943">
        <f>transport!D54</f>
        <v>0</v>
      </c>
      <c r="F19" s="943">
        <f>transport!E54</f>
        <v>0</v>
      </c>
      <c r="G19" s="943">
        <f>transport!F54</f>
        <v>0</v>
      </c>
      <c r="H19" s="943">
        <f>transport!G54</f>
        <v>2783.9345436477233</v>
      </c>
      <c r="I19" s="943">
        <f>transport!H54</f>
        <v>0</v>
      </c>
      <c r="J19" s="943">
        <f>transport!I54</f>
        <v>0</v>
      </c>
      <c r="K19" s="943">
        <f>transport!J54</f>
        <v>0</v>
      </c>
      <c r="L19" s="943">
        <f>transport!K54</f>
        <v>0</v>
      </c>
      <c r="M19" s="943">
        <f>transport!L54</f>
        <v>0</v>
      </c>
      <c r="N19" s="943">
        <f>transport!M54</f>
        <v>160.26564412858804</v>
      </c>
      <c r="O19" s="943">
        <f>transport!N54</f>
        <v>0</v>
      </c>
      <c r="P19" s="943">
        <f>transport!O54</f>
        <v>0</v>
      </c>
      <c r="Q19" s="944">
        <f>transport!P54</f>
        <v>0</v>
      </c>
      <c r="R19" s="629">
        <f>SUM(C19:Q19)</f>
        <v>2958.892157949052</v>
      </c>
      <c r="S19" s="67"/>
    </row>
    <row r="20" spans="1:19" s="438" customFormat="1">
      <c r="A20" s="737" t="s">
        <v>296</v>
      </c>
      <c r="B20" s="742"/>
      <c r="C20" s="943">
        <f>transport!B14</f>
        <v>26.538114445775918</v>
      </c>
      <c r="D20" s="943">
        <f>transport!C14</f>
        <v>0</v>
      </c>
      <c r="E20" s="943">
        <f>transport!D14</f>
        <v>41.703400577098073</v>
      </c>
      <c r="F20" s="943">
        <f>transport!E14</f>
        <v>423.90436278193147</v>
      </c>
      <c r="G20" s="943">
        <f>transport!F14</f>
        <v>0</v>
      </c>
      <c r="H20" s="943">
        <f>transport!G14</f>
        <v>136341.1325973054</v>
      </c>
      <c r="I20" s="943">
        <f>transport!H14</f>
        <v>25786.875600921721</v>
      </c>
      <c r="J20" s="943">
        <f>transport!I14</f>
        <v>0</v>
      </c>
      <c r="K20" s="943">
        <f>transport!J14</f>
        <v>0</v>
      </c>
      <c r="L20" s="943">
        <f>transport!K14</f>
        <v>0</v>
      </c>
      <c r="M20" s="943">
        <f>transport!L14</f>
        <v>0</v>
      </c>
      <c r="N20" s="943">
        <f>transport!M14</f>
        <v>8691.2440927953248</v>
      </c>
      <c r="O20" s="943">
        <f>transport!N14</f>
        <v>0</v>
      </c>
      <c r="P20" s="943">
        <f>transport!O14</f>
        <v>0</v>
      </c>
      <c r="Q20" s="944">
        <f>transport!P14</f>
        <v>0</v>
      </c>
      <c r="R20" s="629">
        <f>SUM(C20:Q20)</f>
        <v>171311.39816882726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41.230084618516628</v>
      </c>
      <c r="D22" s="740">
        <f t="shared" ref="D22:R22" si="1">SUM(D18:D21)</f>
        <v>0</v>
      </c>
      <c r="E22" s="740">
        <f t="shared" si="1"/>
        <v>41.703400577098073</v>
      </c>
      <c r="F22" s="740">
        <f t="shared" si="1"/>
        <v>423.90436278193147</v>
      </c>
      <c r="G22" s="740">
        <f t="shared" si="1"/>
        <v>0</v>
      </c>
      <c r="H22" s="740">
        <f t="shared" si="1"/>
        <v>139125.06714095312</v>
      </c>
      <c r="I22" s="740">
        <f t="shared" si="1"/>
        <v>25786.875600921721</v>
      </c>
      <c r="J22" s="740">
        <f t="shared" si="1"/>
        <v>0</v>
      </c>
      <c r="K22" s="740">
        <f t="shared" si="1"/>
        <v>0</v>
      </c>
      <c r="L22" s="740">
        <f t="shared" si="1"/>
        <v>0</v>
      </c>
      <c r="M22" s="740">
        <f t="shared" si="1"/>
        <v>0</v>
      </c>
      <c r="N22" s="740">
        <f t="shared" si="1"/>
        <v>8851.509736923912</v>
      </c>
      <c r="O22" s="740">
        <f t="shared" si="1"/>
        <v>0</v>
      </c>
      <c r="P22" s="740">
        <f t="shared" si="1"/>
        <v>0</v>
      </c>
      <c r="Q22" s="740">
        <f t="shared" si="1"/>
        <v>0</v>
      </c>
      <c r="R22" s="740">
        <f t="shared" si="1"/>
        <v>174270.2903267763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1423.8140000000001</v>
      </c>
      <c r="D24" s="943">
        <f>+landbouw!C8</f>
        <v>0</v>
      </c>
      <c r="E24" s="943">
        <f>+landbouw!D8</f>
        <v>789.762336</v>
      </c>
      <c r="F24" s="943">
        <f>+landbouw!E8</f>
        <v>30.531611601299268</v>
      </c>
      <c r="G24" s="943">
        <f>+landbouw!F8</f>
        <v>4618.3963776914807</v>
      </c>
      <c r="H24" s="943">
        <f>+landbouw!G8</f>
        <v>0</v>
      </c>
      <c r="I24" s="943">
        <f>+landbouw!H8</f>
        <v>0</v>
      </c>
      <c r="J24" s="943">
        <f>+landbouw!I8</f>
        <v>0</v>
      </c>
      <c r="K24" s="943">
        <f>+landbouw!J8</f>
        <v>137.18523135779608</v>
      </c>
      <c r="L24" s="943">
        <f>+landbouw!K8</f>
        <v>0</v>
      </c>
      <c r="M24" s="943">
        <f>+landbouw!L8</f>
        <v>0</v>
      </c>
      <c r="N24" s="943">
        <f>+landbouw!M8</f>
        <v>0</v>
      </c>
      <c r="O24" s="943">
        <f>+landbouw!N8</f>
        <v>0</v>
      </c>
      <c r="P24" s="943">
        <f>+landbouw!O8</f>
        <v>0</v>
      </c>
      <c r="Q24" s="944">
        <f>+landbouw!P8</f>
        <v>0</v>
      </c>
      <c r="R24" s="629">
        <f>SUM(C24:Q24)</f>
        <v>6999.6895566505764</v>
      </c>
      <c r="S24" s="67"/>
    </row>
    <row r="25" spans="1:19" s="438" customFormat="1" ht="15" thickBot="1">
      <c r="A25" s="759" t="s">
        <v>802</v>
      </c>
      <c r="B25" s="946"/>
      <c r="C25" s="947">
        <f>IF(Onbekend_ele_kWh="---",0,Onbekend_ele_kWh)/1000+IF(REST_rest_ele_kWh="---",0,REST_rest_ele_kWh)/1000</f>
        <v>1564.383</v>
      </c>
      <c r="D25" s="947"/>
      <c r="E25" s="947">
        <f>IF(onbekend_gas_kWh="---",0,onbekend_gas_kWh)/1000+IF(REST_rest_gas_kWh="---",0,REST_rest_gas_kWh)/1000</f>
        <v>1859.548</v>
      </c>
      <c r="F25" s="947"/>
      <c r="G25" s="947"/>
      <c r="H25" s="947"/>
      <c r="I25" s="947"/>
      <c r="J25" s="947"/>
      <c r="K25" s="947"/>
      <c r="L25" s="947"/>
      <c r="M25" s="947"/>
      <c r="N25" s="947"/>
      <c r="O25" s="947"/>
      <c r="P25" s="947"/>
      <c r="Q25" s="948"/>
      <c r="R25" s="629">
        <f>SUM(C25:Q25)</f>
        <v>3423.931</v>
      </c>
      <c r="S25" s="67"/>
    </row>
    <row r="26" spans="1:19" s="438" customFormat="1" ht="15.75" thickBot="1">
      <c r="A26" s="634" t="s">
        <v>803</v>
      </c>
      <c r="B26" s="745"/>
      <c r="C26" s="740">
        <f>SUM(C24:C25)</f>
        <v>2988.1970000000001</v>
      </c>
      <c r="D26" s="740">
        <f t="shared" ref="D26:R26" si="2">SUM(D24:D25)</f>
        <v>0</v>
      </c>
      <c r="E26" s="740">
        <f t="shared" si="2"/>
        <v>2649.310336</v>
      </c>
      <c r="F26" s="740">
        <f t="shared" si="2"/>
        <v>30.531611601299268</v>
      </c>
      <c r="G26" s="740">
        <f t="shared" si="2"/>
        <v>4618.3963776914807</v>
      </c>
      <c r="H26" s="740">
        <f t="shared" si="2"/>
        <v>0</v>
      </c>
      <c r="I26" s="740">
        <f t="shared" si="2"/>
        <v>0</v>
      </c>
      <c r="J26" s="740">
        <f t="shared" si="2"/>
        <v>0</v>
      </c>
      <c r="K26" s="740">
        <f t="shared" si="2"/>
        <v>137.18523135779608</v>
      </c>
      <c r="L26" s="740">
        <f t="shared" si="2"/>
        <v>0</v>
      </c>
      <c r="M26" s="740">
        <f t="shared" si="2"/>
        <v>0</v>
      </c>
      <c r="N26" s="740">
        <f t="shared" si="2"/>
        <v>0</v>
      </c>
      <c r="O26" s="740">
        <f t="shared" si="2"/>
        <v>0</v>
      </c>
      <c r="P26" s="740">
        <f t="shared" si="2"/>
        <v>0</v>
      </c>
      <c r="Q26" s="740">
        <f t="shared" si="2"/>
        <v>0</v>
      </c>
      <c r="R26" s="740">
        <f t="shared" si="2"/>
        <v>10423.620556650576</v>
      </c>
      <c r="S26" s="67"/>
    </row>
    <row r="27" spans="1:19" s="438" customFormat="1" ht="17.25" thickTop="1" thickBot="1">
      <c r="A27" s="635" t="s">
        <v>109</v>
      </c>
      <c r="B27" s="733"/>
      <c r="C27" s="636">
        <f ca="1">C22+C16+C26</f>
        <v>114633.95170957975</v>
      </c>
      <c r="D27" s="636">
        <f t="shared" ref="D27:R27" ca="1" si="3">D22+D16+D26</f>
        <v>6621.4285714285716</v>
      </c>
      <c r="E27" s="636">
        <f t="shared" ca="1" si="3"/>
        <v>203886.68073971997</v>
      </c>
      <c r="F27" s="636">
        <f t="shared" si="3"/>
        <v>7792.6724745602687</v>
      </c>
      <c r="G27" s="636">
        <f t="shared" ca="1" si="3"/>
        <v>134723.94645320257</v>
      </c>
      <c r="H27" s="636">
        <f t="shared" si="3"/>
        <v>139125.06714095312</v>
      </c>
      <c r="I27" s="636">
        <f t="shared" si="3"/>
        <v>25786.875600921721</v>
      </c>
      <c r="J27" s="636">
        <f t="shared" si="3"/>
        <v>0</v>
      </c>
      <c r="K27" s="636">
        <f t="shared" si="3"/>
        <v>2751.3148855253366</v>
      </c>
      <c r="L27" s="636">
        <f t="shared" si="3"/>
        <v>0</v>
      </c>
      <c r="M27" s="636">
        <f t="shared" ca="1" si="3"/>
        <v>0</v>
      </c>
      <c r="N27" s="636">
        <f t="shared" si="3"/>
        <v>8851.509736923912</v>
      </c>
      <c r="O27" s="636">
        <f t="shared" ca="1" si="3"/>
        <v>19507.59732050851</v>
      </c>
      <c r="P27" s="636">
        <f t="shared" si="3"/>
        <v>548.73</v>
      </c>
      <c r="Q27" s="636">
        <f t="shared" si="3"/>
        <v>1296.5333333333333</v>
      </c>
      <c r="R27" s="636">
        <f t="shared" ca="1" si="3"/>
        <v>665526.3079666571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6163.3981318973501</v>
      </c>
      <c r="D40" s="943">
        <f ca="1">tertiair!C20</f>
        <v>0</v>
      </c>
      <c r="E40" s="943">
        <f ca="1">tertiair!D20</f>
        <v>5263.2775707160008</v>
      </c>
      <c r="F40" s="943">
        <f>tertiair!E20</f>
        <v>124.0358114289764</v>
      </c>
      <c r="G40" s="943">
        <f ca="1">tertiair!F20</f>
        <v>2097.134170674698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13647.845684717024</v>
      </c>
    </row>
    <row r="41" spans="1:18">
      <c r="A41" s="750" t="s">
        <v>214</v>
      </c>
      <c r="B41" s="757"/>
      <c r="C41" s="943">
        <f ca="1">huishoudens!B12</f>
        <v>9929.2248879054932</v>
      </c>
      <c r="D41" s="943">
        <f ca="1">huishoudens!C12</f>
        <v>0</v>
      </c>
      <c r="E41" s="943">
        <f>huishoudens!D12</f>
        <v>15149.000108484002</v>
      </c>
      <c r="F41" s="943">
        <f>huishoudens!E12</f>
        <v>797.08254792073899</v>
      </c>
      <c r="G41" s="943">
        <f>huishoudens!F12</f>
        <v>29576.387053285271</v>
      </c>
      <c r="H41" s="943">
        <f>huishoudens!G12</f>
        <v>0</v>
      </c>
      <c r="I41" s="943">
        <f>huishoudens!H12</f>
        <v>0</v>
      </c>
      <c r="J41" s="943">
        <f>huishoudens!I12</f>
        <v>0</v>
      </c>
      <c r="K41" s="943">
        <f>huishoudens!J12</f>
        <v>914.46052806238117</v>
      </c>
      <c r="L41" s="943">
        <f>huishoudens!K12</f>
        <v>0</v>
      </c>
      <c r="M41" s="943">
        <f>huishoudens!L12</f>
        <v>0</v>
      </c>
      <c r="N41" s="943">
        <f>huishoudens!M12</f>
        <v>0</v>
      </c>
      <c r="O41" s="943">
        <f>huishoudens!N12</f>
        <v>0</v>
      </c>
      <c r="P41" s="943">
        <f>huishoudens!O12</f>
        <v>0</v>
      </c>
      <c r="Q41" s="703">
        <f>huishoudens!P12</f>
        <v>0</v>
      </c>
      <c r="R41" s="778">
        <f t="shared" ca="1" si="4"/>
        <v>56366.155125657882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4582.6752522849001</v>
      </c>
      <c r="D43" s="943">
        <f ca="1">industrie!C22</f>
        <v>1573.5630252100839</v>
      </c>
      <c r="E43" s="943">
        <f>industrie!D22</f>
        <v>20229.247055434858</v>
      </c>
      <c r="F43" s="943">
        <f>industrie!E22</f>
        <v>744.66132619047232</v>
      </c>
      <c r="G43" s="943">
        <f>industrie!F22</f>
        <v>3064.6606462014929</v>
      </c>
      <c r="H43" s="943">
        <f>industrie!G22</f>
        <v>0</v>
      </c>
      <c r="I43" s="943">
        <f>industrie!H22</f>
        <v>0</v>
      </c>
      <c r="J43" s="943">
        <f>industrie!I22</f>
        <v>0</v>
      </c>
      <c r="K43" s="943">
        <f>industrie!J22</f>
        <v>10.941369512928164</v>
      </c>
      <c r="L43" s="943">
        <f>industrie!K22</f>
        <v>0</v>
      </c>
      <c r="M43" s="943">
        <f>industrie!L22</f>
        <v>0</v>
      </c>
      <c r="N43" s="943">
        <f>industrie!M22</f>
        <v>0</v>
      </c>
      <c r="O43" s="943">
        <f>industrie!N22</f>
        <v>0</v>
      </c>
      <c r="P43" s="943">
        <f>industrie!O22</f>
        <v>0</v>
      </c>
      <c r="Q43" s="703">
        <f>industrie!P22</f>
        <v>0</v>
      </c>
      <c r="R43" s="777">
        <f t="shared" ca="1" si="4"/>
        <v>30205.748674834736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20675.298272087741</v>
      </c>
      <c r="D46" s="661">
        <f t="shared" ref="D46:Q46" ca="1" si="5">SUM(D39:D45)</f>
        <v>1573.5630252100839</v>
      </c>
      <c r="E46" s="661">
        <f t="shared" ca="1" si="5"/>
        <v>40641.524734634862</v>
      </c>
      <c r="F46" s="661">
        <f t="shared" si="5"/>
        <v>1665.7796855401878</v>
      </c>
      <c r="G46" s="661">
        <f t="shared" ca="1" si="5"/>
        <v>34738.181870161461</v>
      </c>
      <c r="H46" s="661">
        <f t="shared" si="5"/>
        <v>0</v>
      </c>
      <c r="I46" s="661">
        <f t="shared" si="5"/>
        <v>0</v>
      </c>
      <c r="J46" s="661">
        <f t="shared" si="5"/>
        <v>0</v>
      </c>
      <c r="K46" s="661">
        <f t="shared" si="5"/>
        <v>925.40189757530936</v>
      </c>
      <c r="L46" s="661">
        <f t="shared" si="5"/>
        <v>0</v>
      </c>
      <c r="M46" s="661">
        <f t="shared" ca="1" si="5"/>
        <v>0</v>
      </c>
      <c r="N46" s="661">
        <f t="shared" si="5"/>
        <v>0</v>
      </c>
      <c r="O46" s="661">
        <f t="shared" ca="1" si="5"/>
        <v>0</v>
      </c>
      <c r="P46" s="661">
        <f t="shared" si="5"/>
        <v>0</v>
      </c>
      <c r="Q46" s="661">
        <f t="shared" si="5"/>
        <v>0</v>
      </c>
      <c r="R46" s="661">
        <f ca="1">SUM(R39:R45)</f>
        <v>100219.74948520964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2.7217612058901426</v>
      </c>
      <c r="D49" s="943">
        <f ca="1">transport!C58</f>
        <v>0</v>
      </c>
      <c r="E49" s="943">
        <f>transport!D58</f>
        <v>0</v>
      </c>
      <c r="F49" s="943">
        <f>transport!E58</f>
        <v>0</v>
      </c>
      <c r="G49" s="943">
        <f>transport!F58</f>
        <v>0</v>
      </c>
      <c r="H49" s="943">
        <f>transport!G58</f>
        <v>743.3105231539422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746.03228435983237</v>
      </c>
    </row>
    <row r="50" spans="1:18">
      <c r="A50" s="753" t="s">
        <v>296</v>
      </c>
      <c r="B50" s="763"/>
      <c r="C50" s="632">
        <f ca="1">transport!B18</f>
        <v>4.9163188821333881</v>
      </c>
      <c r="D50" s="632">
        <f>transport!C18</f>
        <v>0</v>
      </c>
      <c r="E50" s="632">
        <f>transport!D18</f>
        <v>8.4240869165738115</v>
      </c>
      <c r="F50" s="632">
        <f>transport!E18</f>
        <v>96.226290351498449</v>
      </c>
      <c r="G50" s="632">
        <f>transport!F18</f>
        <v>0</v>
      </c>
      <c r="H50" s="632">
        <f>transport!G18</f>
        <v>36403.082403480548</v>
      </c>
      <c r="I50" s="632">
        <f>transport!H18</f>
        <v>6420.9320246295083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42933.581124260265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7.6380800880235302</v>
      </c>
      <c r="D52" s="661">
        <f t="shared" ref="D52:Q52" ca="1" si="6">SUM(D48:D51)</f>
        <v>0</v>
      </c>
      <c r="E52" s="661">
        <f t="shared" si="6"/>
        <v>8.4240869165738115</v>
      </c>
      <c r="F52" s="661">
        <f t="shared" si="6"/>
        <v>96.226290351498449</v>
      </c>
      <c r="G52" s="661">
        <f t="shared" si="6"/>
        <v>0</v>
      </c>
      <c r="H52" s="661">
        <f t="shared" si="6"/>
        <v>37146.392926634493</v>
      </c>
      <c r="I52" s="661">
        <f t="shared" si="6"/>
        <v>6420.9320246295083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43679.613408620098</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263.76868888513098</v>
      </c>
      <c r="D54" s="632">
        <f ca="1">+landbouw!C12</f>
        <v>0</v>
      </c>
      <c r="E54" s="632">
        <f>+landbouw!D12</f>
        <v>159.53199187200002</v>
      </c>
      <c r="F54" s="632">
        <f>+landbouw!E12</f>
        <v>6.9306758334949343</v>
      </c>
      <c r="G54" s="632">
        <f>+landbouw!F12</f>
        <v>1233.1118328436255</v>
      </c>
      <c r="H54" s="632">
        <f>+landbouw!G12</f>
        <v>0</v>
      </c>
      <c r="I54" s="632">
        <f>+landbouw!H12</f>
        <v>0</v>
      </c>
      <c r="J54" s="632">
        <f>+landbouw!I12</f>
        <v>0</v>
      </c>
      <c r="K54" s="632">
        <f>+landbouw!J12</f>
        <v>48.563571900659809</v>
      </c>
      <c r="L54" s="632">
        <f>+landbouw!K12</f>
        <v>0</v>
      </c>
      <c r="M54" s="632">
        <f>+landbouw!L12</f>
        <v>0</v>
      </c>
      <c r="N54" s="632">
        <f>+landbouw!M12</f>
        <v>0</v>
      </c>
      <c r="O54" s="632">
        <f>+landbouw!N12</f>
        <v>0</v>
      </c>
      <c r="P54" s="632">
        <f>+landbouw!O12</f>
        <v>0</v>
      </c>
      <c r="Q54" s="633">
        <f>+landbouw!P12</f>
        <v>0</v>
      </c>
      <c r="R54" s="660">
        <f ca="1">SUM(C54:Q54)</f>
        <v>1711.9067613349112</v>
      </c>
    </row>
    <row r="55" spans="1:18" ht="15" thickBot="1">
      <c r="A55" s="753" t="s">
        <v>802</v>
      </c>
      <c r="B55" s="763"/>
      <c r="C55" s="632">
        <f ca="1">C25*'EF ele_warmte'!B12</f>
        <v>289.80980157814702</v>
      </c>
      <c r="D55" s="632"/>
      <c r="E55" s="632">
        <f>E25*EF_CO2_aardgas</f>
        <v>375.62869600000005</v>
      </c>
      <c r="F55" s="632"/>
      <c r="G55" s="632"/>
      <c r="H55" s="632"/>
      <c r="I55" s="632"/>
      <c r="J55" s="632"/>
      <c r="K55" s="632"/>
      <c r="L55" s="632"/>
      <c r="M55" s="632"/>
      <c r="N55" s="632"/>
      <c r="O55" s="632"/>
      <c r="P55" s="632"/>
      <c r="Q55" s="633"/>
      <c r="R55" s="660">
        <f ca="1">SUM(C55:Q55)</f>
        <v>665.43849757814701</v>
      </c>
    </row>
    <row r="56" spans="1:18" ht="15.75" thickBot="1">
      <c r="A56" s="751" t="s">
        <v>803</v>
      </c>
      <c r="B56" s="764"/>
      <c r="C56" s="661">
        <f ca="1">SUM(C54:C55)</f>
        <v>553.57849046327806</v>
      </c>
      <c r="D56" s="661">
        <f t="shared" ref="D56:Q56" ca="1" si="7">SUM(D54:D55)</f>
        <v>0</v>
      </c>
      <c r="E56" s="661">
        <f t="shared" si="7"/>
        <v>535.16068787200004</v>
      </c>
      <c r="F56" s="661">
        <f t="shared" si="7"/>
        <v>6.9306758334949343</v>
      </c>
      <c r="G56" s="661">
        <f t="shared" si="7"/>
        <v>1233.1118328436255</v>
      </c>
      <c r="H56" s="661">
        <f t="shared" si="7"/>
        <v>0</v>
      </c>
      <c r="I56" s="661">
        <f t="shared" si="7"/>
        <v>0</v>
      </c>
      <c r="J56" s="661">
        <f t="shared" si="7"/>
        <v>0</v>
      </c>
      <c r="K56" s="661">
        <f t="shared" si="7"/>
        <v>48.563571900659809</v>
      </c>
      <c r="L56" s="661">
        <f t="shared" si="7"/>
        <v>0</v>
      </c>
      <c r="M56" s="661">
        <f t="shared" si="7"/>
        <v>0</v>
      </c>
      <c r="N56" s="661">
        <f t="shared" si="7"/>
        <v>0</v>
      </c>
      <c r="O56" s="661">
        <f t="shared" si="7"/>
        <v>0</v>
      </c>
      <c r="P56" s="661">
        <f t="shared" si="7"/>
        <v>0</v>
      </c>
      <c r="Q56" s="662">
        <f t="shared" si="7"/>
        <v>0</v>
      </c>
      <c r="R56" s="663">
        <f ca="1">SUM(R54:R55)</f>
        <v>2377.3452589130584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21236.514842639044</v>
      </c>
      <c r="D61" s="669">
        <f t="shared" ref="D61:Q61" ca="1" si="8">D46+D52+D56</f>
        <v>1573.5630252100839</v>
      </c>
      <c r="E61" s="669">
        <f t="shared" ca="1" si="8"/>
        <v>41185.109509423433</v>
      </c>
      <c r="F61" s="669">
        <f t="shared" si="8"/>
        <v>1768.936651725181</v>
      </c>
      <c r="G61" s="669">
        <f t="shared" ca="1" si="8"/>
        <v>35971.293703005089</v>
      </c>
      <c r="H61" s="669">
        <f t="shared" si="8"/>
        <v>37146.392926634493</v>
      </c>
      <c r="I61" s="669">
        <f t="shared" si="8"/>
        <v>6420.9320246295083</v>
      </c>
      <c r="J61" s="669">
        <f t="shared" si="8"/>
        <v>0</v>
      </c>
      <c r="K61" s="669">
        <f t="shared" si="8"/>
        <v>973.96546947596914</v>
      </c>
      <c r="L61" s="669">
        <f t="shared" si="8"/>
        <v>0</v>
      </c>
      <c r="M61" s="669">
        <f t="shared" ca="1" si="8"/>
        <v>0</v>
      </c>
      <c r="N61" s="669">
        <f t="shared" si="8"/>
        <v>0</v>
      </c>
      <c r="O61" s="669">
        <f t="shared" ca="1" si="8"/>
        <v>0</v>
      </c>
      <c r="P61" s="669">
        <f t="shared" si="8"/>
        <v>0</v>
      </c>
      <c r="Q61" s="669">
        <f t="shared" si="8"/>
        <v>0</v>
      </c>
      <c r="R61" s="669">
        <f ca="1">R46+R52+R56</f>
        <v>146276.70815274279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0.1852550184821409</v>
      </c>
      <c r="D63" s="710">
        <f t="shared" ca="1" si="9"/>
        <v>0.23764705882352938</v>
      </c>
      <c r="E63" s="954">
        <f t="shared" ca="1" si="9"/>
        <v>0.20199999999999999</v>
      </c>
      <c r="F63" s="710">
        <f t="shared" si="9"/>
        <v>0.22700000000000001</v>
      </c>
      <c r="G63" s="710">
        <f t="shared" ca="1" si="9"/>
        <v>0.26700000000000002</v>
      </c>
      <c r="H63" s="710">
        <f t="shared" si="9"/>
        <v>0.26700000000000007</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4029.4634443269933</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14860.797201940617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4635</v>
      </c>
      <c r="D76" s="964">
        <f>'lokale energieproductie'!C8</f>
        <v>5452.9411764705883</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1101.4941176470588</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18890.260646267612</v>
      </c>
      <c r="C78" s="684">
        <f>SUM(C72:C77)</f>
        <v>4635</v>
      </c>
      <c r="D78" s="685">
        <f t="shared" ref="D78:H78" si="10">SUM(D76:D77)</f>
        <v>5452.9411764705883</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1101.4941176470588</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6621.4285714285716</v>
      </c>
      <c r="D87" s="706">
        <f>'lokale energieproductie'!C17</f>
        <v>7789.9159663865539</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1573.5630252100839</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6621.4285714285716</v>
      </c>
      <c r="D90" s="684">
        <f t="shared" ref="D90:H90" si="12">SUM(D87:D89)</f>
        <v>7789.9159663865539</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1573.5630252100839</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53597.602749221594</v>
      </c>
      <c r="C4" s="442">
        <f>huishoudens!C8</f>
        <v>0</v>
      </c>
      <c r="D4" s="442">
        <f>huishoudens!D8</f>
        <v>74995.050042000003</v>
      </c>
      <c r="E4" s="442">
        <f>huishoudens!E8</f>
        <v>3511.3768630869558</v>
      </c>
      <c r="F4" s="442">
        <f>huishoudens!F8</f>
        <v>110772.98521829689</v>
      </c>
      <c r="G4" s="442">
        <f>huishoudens!G8</f>
        <v>0</v>
      </c>
      <c r="H4" s="442">
        <f>huishoudens!H8</f>
        <v>0</v>
      </c>
      <c r="I4" s="442">
        <f>huishoudens!I8</f>
        <v>0</v>
      </c>
      <c r="J4" s="442">
        <f>huishoudens!J8</f>
        <v>2583.2218306846926</v>
      </c>
      <c r="K4" s="442">
        <f>huishoudens!K8</f>
        <v>0</v>
      </c>
      <c r="L4" s="442">
        <f>huishoudens!L8</f>
        <v>0</v>
      </c>
      <c r="M4" s="442">
        <f>huishoudens!M8</f>
        <v>0</v>
      </c>
      <c r="N4" s="442">
        <f>huishoudens!N8</f>
        <v>15336.779402974493</v>
      </c>
      <c r="O4" s="442">
        <f>huishoudens!O8</f>
        <v>547.16666666666663</v>
      </c>
      <c r="P4" s="443">
        <f>huishoudens!P8</f>
        <v>1296.5333333333333</v>
      </c>
      <c r="Q4" s="444">
        <f>SUM(B4:P4)</f>
        <v>262640.71610626462</v>
      </c>
    </row>
    <row r="5" spans="1:17">
      <c r="A5" s="441" t="s">
        <v>149</v>
      </c>
      <c r="B5" s="442">
        <f ca="1">tertiair!B16</f>
        <v>31520.628875739643</v>
      </c>
      <c r="C5" s="442">
        <f ca="1">tertiair!C16</f>
        <v>0</v>
      </c>
      <c r="D5" s="442">
        <f ca="1">tertiair!D16</f>
        <v>26055.829558000001</v>
      </c>
      <c r="E5" s="442">
        <f>tertiair!E16</f>
        <v>546.41326620694451</v>
      </c>
      <c r="F5" s="442">
        <f ca="1">tertiair!F16</f>
        <v>7854.4350961599175</v>
      </c>
      <c r="G5" s="442">
        <f>tertiair!G16</f>
        <v>0</v>
      </c>
      <c r="H5" s="442">
        <f>tertiair!H16</f>
        <v>0</v>
      </c>
      <c r="I5" s="442">
        <f>tertiair!I16</f>
        <v>0</v>
      </c>
      <c r="J5" s="442">
        <f>tertiair!J16</f>
        <v>0</v>
      </c>
      <c r="K5" s="442">
        <f>tertiair!K16</f>
        <v>0</v>
      </c>
      <c r="L5" s="442">
        <f ca="1">tertiair!L16</f>
        <v>0</v>
      </c>
      <c r="M5" s="442">
        <f>tertiair!M16</f>
        <v>0</v>
      </c>
      <c r="N5" s="442">
        <f ca="1">tertiair!N16</f>
        <v>2670.6453062562659</v>
      </c>
      <c r="O5" s="442">
        <f>tertiair!O16</f>
        <v>1.5633333333333335</v>
      </c>
      <c r="P5" s="443">
        <f>tertiair!P16</f>
        <v>0</v>
      </c>
      <c r="Q5" s="441">
        <f t="shared" ref="Q5:Q14" ca="1" si="0">SUM(B5:P5)</f>
        <v>68649.515435696114</v>
      </c>
    </row>
    <row r="6" spans="1:17">
      <c r="A6" s="441" t="s">
        <v>187</v>
      </c>
      <c r="B6" s="442">
        <f>'openbare verlichting'!B8</f>
        <v>1749.175</v>
      </c>
      <c r="C6" s="442"/>
      <c r="D6" s="442"/>
      <c r="E6" s="442"/>
      <c r="F6" s="442"/>
      <c r="G6" s="442"/>
      <c r="H6" s="442"/>
      <c r="I6" s="442"/>
      <c r="J6" s="442"/>
      <c r="K6" s="442"/>
      <c r="L6" s="442"/>
      <c r="M6" s="442"/>
      <c r="N6" s="442"/>
      <c r="O6" s="442"/>
      <c r="P6" s="443"/>
      <c r="Q6" s="441">
        <f t="shared" si="0"/>
        <v>1749.175</v>
      </c>
    </row>
    <row r="7" spans="1:17">
      <c r="A7" s="441" t="s">
        <v>105</v>
      </c>
      <c r="B7" s="442">
        <f>landbouw!B8</f>
        <v>1423.8140000000001</v>
      </c>
      <c r="C7" s="442">
        <f>landbouw!C8</f>
        <v>0</v>
      </c>
      <c r="D7" s="442">
        <f>landbouw!D8</f>
        <v>789.762336</v>
      </c>
      <c r="E7" s="442">
        <f>landbouw!E8</f>
        <v>30.531611601299268</v>
      </c>
      <c r="F7" s="442">
        <f>landbouw!F8</f>
        <v>4618.3963776914807</v>
      </c>
      <c r="G7" s="442">
        <f>landbouw!G8</f>
        <v>0</v>
      </c>
      <c r="H7" s="442">
        <f>landbouw!H8</f>
        <v>0</v>
      </c>
      <c r="I7" s="442">
        <f>landbouw!I8</f>
        <v>0</v>
      </c>
      <c r="J7" s="442">
        <f>landbouw!J8</f>
        <v>137.18523135779608</v>
      </c>
      <c r="K7" s="442">
        <f>landbouw!K8</f>
        <v>0</v>
      </c>
      <c r="L7" s="442">
        <f>landbouw!L8</f>
        <v>0</v>
      </c>
      <c r="M7" s="442">
        <f>landbouw!M8</f>
        <v>0</v>
      </c>
      <c r="N7" s="442">
        <f>landbouw!N8</f>
        <v>0</v>
      </c>
      <c r="O7" s="442">
        <f>landbouw!O8</f>
        <v>0</v>
      </c>
      <c r="P7" s="443">
        <f>landbouw!P8</f>
        <v>0</v>
      </c>
      <c r="Q7" s="441">
        <f t="shared" si="0"/>
        <v>6999.6895566505764</v>
      </c>
    </row>
    <row r="8" spans="1:17">
      <c r="A8" s="441" t="s">
        <v>612</v>
      </c>
      <c r="B8" s="442">
        <f>industrie!B18</f>
        <v>24737.117999999999</v>
      </c>
      <c r="C8" s="442">
        <f>industrie!C18</f>
        <v>6621.4285714285716</v>
      </c>
      <c r="D8" s="442">
        <f>industrie!D18</f>
        <v>100144.78740314287</v>
      </c>
      <c r="E8" s="442">
        <f>industrie!E18</f>
        <v>3280.4463708831381</v>
      </c>
      <c r="F8" s="442">
        <f>industrie!F18</f>
        <v>11478.129761054281</v>
      </c>
      <c r="G8" s="442">
        <f>industrie!G18</f>
        <v>0</v>
      </c>
      <c r="H8" s="442">
        <f>industrie!H18</f>
        <v>0</v>
      </c>
      <c r="I8" s="442">
        <f>industrie!I18</f>
        <v>0</v>
      </c>
      <c r="J8" s="442">
        <f>industrie!J18</f>
        <v>30.907823482847924</v>
      </c>
      <c r="K8" s="442">
        <f>industrie!K18</f>
        <v>0</v>
      </c>
      <c r="L8" s="442">
        <f>industrie!L18</f>
        <v>0</v>
      </c>
      <c r="M8" s="442">
        <f>industrie!M18</f>
        <v>0</v>
      </c>
      <c r="N8" s="442">
        <f>industrie!N18</f>
        <v>1500.1726112777508</v>
      </c>
      <c r="O8" s="442">
        <f>industrie!O18</f>
        <v>0</v>
      </c>
      <c r="P8" s="443">
        <f>industrie!P18</f>
        <v>0</v>
      </c>
      <c r="Q8" s="441">
        <f t="shared" si="0"/>
        <v>147792.99054126945</v>
      </c>
    </row>
    <row r="9" spans="1:17" s="447" customFormat="1">
      <c r="A9" s="445" t="s">
        <v>556</v>
      </c>
      <c r="B9" s="446">
        <f>transport!B14</f>
        <v>26.538114445775918</v>
      </c>
      <c r="C9" s="446">
        <f>transport!C14</f>
        <v>0</v>
      </c>
      <c r="D9" s="446">
        <f>transport!D14</f>
        <v>41.703400577098073</v>
      </c>
      <c r="E9" s="446">
        <f>transport!E14</f>
        <v>423.90436278193147</v>
      </c>
      <c r="F9" s="446">
        <f>transport!F14</f>
        <v>0</v>
      </c>
      <c r="G9" s="446">
        <f>transport!G14</f>
        <v>136341.1325973054</v>
      </c>
      <c r="H9" s="446">
        <f>transport!H14</f>
        <v>25786.875600921721</v>
      </c>
      <c r="I9" s="446">
        <f>transport!I14</f>
        <v>0</v>
      </c>
      <c r="J9" s="446">
        <f>transport!J14</f>
        <v>0</v>
      </c>
      <c r="K9" s="446">
        <f>transport!K14</f>
        <v>0</v>
      </c>
      <c r="L9" s="446">
        <f>transport!L14</f>
        <v>0</v>
      </c>
      <c r="M9" s="446">
        <f>transport!M14</f>
        <v>8691.2440927953248</v>
      </c>
      <c r="N9" s="446">
        <f>transport!N14</f>
        <v>0</v>
      </c>
      <c r="O9" s="446">
        <f>transport!O14</f>
        <v>0</v>
      </c>
      <c r="P9" s="446">
        <f>transport!P14</f>
        <v>0</v>
      </c>
      <c r="Q9" s="445">
        <f>SUM(B9:P9)</f>
        <v>171311.39816882726</v>
      </c>
    </row>
    <row r="10" spans="1:17">
      <c r="A10" s="441" t="s">
        <v>546</v>
      </c>
      <c r="B10" s="442">
        <f>transport!B54</f>
        <v>14.691970172740707</v>
      </c>
      <c r="C10" s="442">
        <f>transport!C54</f>
        <v>0</v>
      </c>
      <c r="D10" s="442">
        <f>transport!D54</f>
        <v>0</v>
      </c>
      <c r="E10" s="442">
        <f>transport!E54</f>
        <v>0</v>
      </c>
      <c r="F10" s="442">
        <f>transport!F54</f>
        <v>0</v>
      </c>
      <c r="G10" s="442">
        <f>transport!G54</f>
        <v>2783.9345436477233</v>
      </c>
      <c r="H10" s="442">
        <f>transport!H54</f>
        <v>0</v>
      </c>
      <c r="I10" s="442">
        <f>transport!I54</f>
        <v>0</v>
      </c>
      <c r="J10" s="442">
        <f>transport!J54</f>
        <v>0</v>
      </c>
      <c r="K10" s="442">
        <f>transport!K54</f>
        <v>0</v>
      </c>
      <c r="L10" s="442">
        <f>transport!L54</f>
        <v>0</v>
      </c>
      <c r="M10" s="442">
        <f>transport!M54</f>
        <v>160.26564412858804</v>
      </c>
      <c r="N10" s="442">
        <f>transport!N54</f>
        <v>0</v>
      </c>
      <c r="O10" s="442">
        <f>transport!O54</f>
        <v>0</v>
      </c>
      <c r="P10" s="443">
        <f>transport!P54</f>
        <v>0</v>
      </c>
      <c r="Q10" s="441">
        <f t="shared" si="0"/>
        <v>2958.892157949052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1564.383</v>
      </c>
      <c r="C14" s="449"/>
      <c r="D14" s="449">
        <f>'SEAP template'!E25</f>
        <v>1859.548</v>
      </c>
      <c r="E14" s="449"/>
      <c r="F14" s="449"/>
      <c r="G14" s="449"/>
      <c r="H14" s="449"/>
      <c r="I14" s="449"/>
      <c r="J14" s="449"/>
      <c r="K14" s="449"/>
      <c r="L14" s="449"/>
      <c r="M14" s="449"/>
      <c r="N14" s="449"/>
      <c r="O14" s="449"/>
      <c r="P14" s="450"/>
      <c r="Q14" s="441">
        <f t="shared" si="0"/>
        <v>3423.931</v>
      </c>
    </row>
    <row r="15" spans="1:17" s="451" customFormat="1">
      <c r="A15" s="969" t="s">
        <v>550</v>
      </c>
      <c r="B15" s="909">
        <f ca="1">SUM(B4:B14)</f>
        <v>114633.95170957976</v>
      </c>
      <c r="C15" s="909">
        <f t="shared" ref="C15:Q15" ca="1" si="1">SUM(C4:C14)</f>
        <v>6621.4285714285716</v>
      </c>
      <c r="D15" s="909">
        <f t="shared" ca="1" si="1"/>
        <v>203886.68073971997</v>
      </c>
      <c r="E15" s="909">
        <f t="shared" si="1"/>
        <v>7792.6724745602696</v>
      </c>
      <c r="F15" s="909">
        <f t="shared" ca="1" si="1"/>
        <v>134723.94645320254</v>
      </c>
      <c r="G15" s="909">
        <f t="shared" si="1"/>
        <v>139125.06714095312</v>
      </c>
      <c r="H15" s="909">
        <f t="shared" si="1"/>
        <v>25786.875600921721</v>
      </c>
      <c r="I15" s="909">
        <f t="shared" si="1"/>
        <v>0</v>
      </c>
      <c r="J15" s="909">
        <f t="shared" si="1"/>
        <v>2751.3148855253366</v>
      </c>
      <c r="K15" s="909">
        <f t="shared" si="1"/>
        <v>0</v>
      </c>
      <c r="L15" s="909">
        <f t="shared" ca="1" si="1"/>
        <v>0</v>
      </c>
      <c r="M15" s="909">
        <f t="shared" si="1"/>
        <v>8851.509736923912</v>
      </c>
      <c r="N15" s="909">
        <f t="shared" ca="1" si="1"/>
        <v>19507.59732050851</v>
      </c>
      <c r="O15" s="909">
        <f t="shared" si="1"/>
        <v>548.73</v>
      </c>
      <c r="P15" s="909">
        <f t="shared" si="1"/>
        <v>1296.5333333333333</v>
      </c>
      <c r="Q15" s="909">
        <f t="shared" ca="1" si="1"/>
        <v>665526.3079666571</v>
      </c>
    </row>
    <row r="17" spans="1:17">
      <c r="A17" s="452" t="s">
        <v>551</v>
      </c>
      <c r="B17" s="715">
        <f ca="1">huishoudens!B10</f>
        <v>0.1852550184821409</v>
      </c>
      <c r="C17" s="715">
        <f ca="1">huishoudens!C10</f>
        <v>0.23764705882352938</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9929.2248879054932</v>
      </c>
      <c r="C22" s="442">
        <f t="shared" ref="C22:C32" ca="1" si="3">C4*$C$17</f>
        <v>0</v>
      </c>
      <c r="D22" s="442">
        <f t="shared" ref="D22:D32" si="4">D4*$D$17</f>
        <v>15149.000108484002</v>
      </c>
      <c r="E22" s="442">
        <f t="shared" ref="E22:E32" si="5">E4*$E$17</f>
        <v>797.08254792073899</v>
      </c>
      <c r="F22" s="442">
        <f t="shared" ref="F22:F32" si="6">F4*$F$17</f>
        <v>29576.387053285271</v>
      </c>
      <c r="G22" s="442">
        <f t="shared" ref="G22:G32" si="7">G4*$G$17</f>
        <v>0</v>
      </c>
      <c r="H22" s="442">
        <f t="shared" ref="H22:H32" si="8">H4*$H$17</f>
        <v>0</v>
      </c>
      <c r="I22" s="442">
        <f t="shared" ref="I22:I32" si="9">I4*$I$17</f>
        <v>0</v>
      </c>
      <c r="J22" s="442">
        <f t="shared" ref="J22:J32" si="10">J4*$J$17</f>
        <v>914.46052806238117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56366.155125657882</v>
      </c>
    </row>
    <row r="23" spans="1:17">
      <c r="A23" s="441" t="s">
        <v>149</v>
      </c>
      <c r="B23" s="442">
        <f t="shared" ca="1" si="2"/>
        <v>5839.3546849438517</v>
      </c>
      <c r="C23" s="442">
        <f t="shared" ca="1" si="3"/>
        <v>0</v>
      </c>
      <c r="D23" s="442">
        <f t="shared" ca="1" si="4"/>
        <v>5263.2775707160008</v>
      </c>
      <c r="E23" s="442">
        <f t="shared" si="5"/>
        <v>124.0358114289764</v>
      </c>
      <c r="F23" s="442">
        <f t="shared" ca="1" si="6"/>
        <v>2097.134170674698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13323.802237763528</v>
      </c>
    </row>
    <row r="24" spans="1:17">
      <c r="A24" s="441" t="s">
        <v>187</v>
      </c>
      <c r="B24" s="442">
        <f t="shared" ca="1" si="2"/>
        <v>324.0434469534988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324.0434469534988</v>
      </c>
    </row>
    <row r="25" spans="1:17">
      <c r="A25" s="441" t="s">
        <v>105</v>
      </c>
      <c r="B25" s="442">
        <f t="shared" ca="1" si="2"/>
        <v>263.76868888513098</v>
      </c>
      <c r="C25" s="442">
        <f t="shared" ca="1" si="3"/>
        <v>0</v>
      </c>
      <c r="D25" s="442">
        <f t="shared" si="4"/>
        <v>159.53199187200002</v>
      </c>
      <c r="E25" s="442">
        <f t="shared" si="5"/>
        <v>6.9306758334949343</v>
      </c>
      <c r="F25" s="442">
        <f t="shared" si="6"/>
        <v>1233.1118328436255</v>
      </c>
      <c r="G25" s="442">
        <f t="shared" si="7"/>
        <v>0</v>
      </c>
      <c r="H25" s="442">
        <f t="shared" si="8"/>
        <v>0</v>
      </c>
      <c r="I25" s="442">
        <f t="shared" si="9"/>
        <v>0</v>
      </c>
      <c r="J25" s="442">
        <f t="shared" si="10"/>
        <v>48.563571900659809</v>
      </c>
      <c r="K25" s="442">
        <f t="shared" si="11"/>
        <v>0</v>
      </c>
      <c r="L25" s="442">
        <f t="shared" si="12"/>
        <v>0</v>
      </c>
      <c r="M25" s="442">
        <f t="shared" si="13"/>
        <v>0</v>
      </c>
      <c r="N25" s="442">
        <f t="shared" si="14"/>
        <v>0</v>
      </c>
      <c r="O25" s="442">
        <f t="shared" si="15"/>
        <v>0</v>
      </c>
      <c r="P25" s="443">
        <f t="shared" si="16"/>
        <v>0</v>
      </c>
      <c r="Q25" s="441">
        <f t="shared" ca="1" si="17"/>
        <v>1711.9067613349112</v>
      </c>
    </row>
    <row r="26" spans="1:17">
      <c r="A26" s="441" t="s">
        <v>612</v>
      </c>
      <c r="B26" s="442">
        <f t="shared" ca="1" si="2"/>
        <v>4582.6752522849001</v>
      </c>
      <c r="C26" s="442">
        <f t="shared" ca="1" si="3"/>
        <v>1573.5630252100839</v>
      </c>
      <c r="D26" s="442">
        <f t="shared" si="4"/>
        <v>20229.247055434858</v>
      </c>
      <c r="E26" s="442">
        <f t="shared" si="5"/>
        <v>744.66132619047232</v>
      </c>
      <c r="F26" s="442">
        <f t="shared" si="6"/>
        <v>3064.6606462014929</v>
      </c>
      <c r="G26" s="442">
        <f t="shared" si="7"/>
        <v>0</v>
      </c>
      <c r="H26" s="442">
        <f t="shared" si="8"/>
        <v>0</v>
      </c>
      <c r="I26" s="442">
        <f t="shared" si="9"/>
        <v>0</v>
      </c>
      <c r="J26" s="442">
        <f t="shared" si="10"/>
        <v>10.941369512928164</v>
      </c>
      <c r="K26" s="442">
        <f t="shared" si="11"/>
        <v>0</v>
      </c>
      <c r="L26" s="442">
        <f t="shared" si="12"/>
        <v>0</v>
      </c>
      <c r="M26" s="442">
        <f t="shared" si="13"/>
        <v>0</v>
      </c>
      <c r="N26" s="442">
        <f t="shared" si="14"/>
        <v>0</v>
      </c>
      <c r="O26" s="442">
        <f t="shared" si="15"/>
        <v>0</v>
      </c>
      <c r="P26" s="443">
        <f t="shared" si="16"/>
        <v>0</v>
      </c>
      <c r="Q26" s="441">
        <f t="shared" ca="1" si="17"/>
        <v>30205.748674834736</v>
      </c>
    </row>
    <row r="27" spans="1:17" s="447" customFormat="1">
      <c r="A27" s="445" t="s">
        <v>556</v>
      </c>
      <c r="B27" s="709">
        <f t="shared" ca="1" si="2"/>
        <v>4.9163188821333881</v>
      </c>
      <c r="C27" s="446">
        <f t="shared" ca="1" si="3"/>
        <v>0</v>
      </c>
      <c r="D27" s="446">
        <f t="shared" si="4"/>
        <v>8.4240869165738115</v>
      </c>
      <c r="E27" s="446">
        <f t="shared" si="5"/>
        <v>96.226290351498449</v>
      </c>
      <c r="F27" s="446">
        <f t="shared" si="6"/>
        <v>0</v>
      </c>
      <c r="G27" s="446">
        <f t="shared" si="7"/>
        <v>36403.082403480548</v>
      </c>
      <c r="H27" s="446">
        <f t="shared" si="8"/>
        <v>6420.9320246295083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42933.581124260265</v>
      </c>
    </row>
    <row r="28" spans="1:17">
      <c r="A28" s="441" t="s">
        <v>546</v>
      </c>
      <c r="B28" s="442">
        <f t="shared" ca="1" si="2"/>
        <v>2.7217612058901426</v>
      </c>
      <c r="C28" s="442">
        <f t="shared" ca="1" si="3"/>
        <v>0</v>
      </c>
      <c r="D28" s="442">
        <f t="shared" si="4"/>
        <v>0</v>
      </c>
      <c r="E28" s="442">
        <f t="shared" si="5"/>
        <v>0</v>
      </c>
      <c r="F28" s="442">
        <f t="shared" si="6"/>
        <v>0</v>
      </c>
      <c r="G28" s="442">
        <f t="shared" si="7"/>
        <v>743.3105231539422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746.03228435983237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289.80980157814702</v>
      </c>
      <c r="C32" s="442">
        <f t="shared" ca="1" si="3"/>
        <v>0</v>
      </c>
      <c r="D32" s="442">
        <f t="shared" si="4"/>
        <v>375.62869600000005</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665.43849757814701</v>
      </c>
    </row>
    <row r="33" spans="1:17" s="451" customFormat="1">
      <c r="A33" s="969" t="s">
        <v>550</v>
      </c>
      <c r="B33" s="909">
        <f ca="1">SUM(B22:B32)</f>
        <v>21236.514842639044</v>
      </c>
      <c r="C33" s="909">
        <f t="shared" ref="C33:Q33" ca="1" si="18">SUM(C22:C32)</f>
        <v>1573.5630252100839</v>
      </c>
      <c r="D33" s="909">
        <f t="shared" ca="1" si="18"/>
        <v>41185.109509423441</v>
      </c>
      <c r="E33" s="909">
        <f t="shared" si="18"/>
        <v>1768.936651725181</v>
      </c>
      <c r="F33" s="909">
        <f t="shared" ca="1" si="18"/>
        <v>35971.293703005082</v>
      </c>
      <c r="G33" s="909">
        <f t="shared" si="18"/>
        <v>37146.392926634493</v>
      </c>
      <c r="H33" s="909">
        <f t="shared" si="18"/>
        <v>6420.9320246295083</v>
      </c>
      <c r="I33" s="909">
        <f t="shared" si="18"/>
        <v>0</v>
      </c>
      <c r="J33" s="909">
        <f t="shared" si="18"/>
        <v>973.96546947596914</v>
      </c>
      <c r="K33" s="909">
        <f t="shared" si="18"/>
        <v>0</v>
      </c>
      <c r="L33" s="909">
        <f t="shared" ca="1" si="18"/>
        <v>0</v>
      </c>
      <c r="M33" s="909">
        <f t="shared" si="18"/>
        <v>0</v>
      </c>
      <c r="N33" s="909">
        <f t="shared" ca="1" si="18"/>
        <v>0</v>
      </c>
      <c r="O33" s="909">
        <f t="shared" si="18"/>
        <v>0</v>
      </c>
      <c r="P33" s="909">
        <f t="shared" si="18"/>
        <v>0</v>
      </c>
      <c r="Q33" s="909">
        <f t="shared" ca="1" si="18"/>
        <v>146276.70815274279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4029.4634443269933</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14860.797201940617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4635</v>
      </c>
      <c r="D8" s="986">
        <f>'SEAP template'!D76</f>
        <v>5452.9411764705883</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1101.4941176470588</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18890.260646267612</v>
      </c>
      <c r="C10" s="990">
        <f>SUM(C4:C9)</f>
        <v>4635</v>
      </c>
      <c r="D10" s="990">
        <f t="shared" ref="D10:H10" si="0">SUM(D8:D9)</f>
        <v>5452.9411764705883</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1101.4941176470588</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0.1852550184821409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6621.4285714285716</v>
      </c>
      <c r="D17" s="987">
        <f>'SEAP template'!D87</f>
        <v>7789.9159663865539</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1573.5630252100839</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6621.4285714285716</v>
      </c>
      <c r="D20" s="990">
        <f t="shared" ref="D20:H20" si="2">SUM(D17:D19)</f>
        <v>7789.9159663865539</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1573.5630252100839</v>
      </c>
    </row>
    <row r="22" spans="1:16">
      <c r="A22" s="452" t="s">
        <v>826</v>
      </c>
      <c r="B22" s="715" t="s">
        <v>820</v>
      </c>
      <c r="C22" s="715">
        <f ca="1">'EF ele_warmte'!B22</f>
        <v>0.23764705882352938</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0.1852550184821409</v>
      </c>
      <c r="C17" s="489">
        <f ca="1">'EF ele_warmte'!B22</f>
        <v>0.23764705882352938</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2022-07-26T11:47:25Z</dcterms:modified>
</cp:coreProperties>
</file>