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5E47053-2200-48F4-9FB8-CF8B7998C90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<sst xmlns="http://schemas.openxmlformats.org/spreadsheetml/2006/main" count="2436" uniqueCount="907">
  <si>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</si>
  <si>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</si>
  <si>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</si>
  <si>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</si>
  <si>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</si>
  <si>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</si>
  <si>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</si>
  <si>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</si>
  <si>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</si>
  <si>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</si>
  <si>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</si>
  <si>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</si>
  <si>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</si>
  <si>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</si>
  <si>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</si>
  <si>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</si>
  <si>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</si>
  <si>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</si>
  <si>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</si>
  <si>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</si>
  <si>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</si>
  <si>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</si>
  <si>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</si>
  <si>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</si>
  <si>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</si>
  <si>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</si>
  <si>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</si>
  <si>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</si>
  <si>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</si>
  <si>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</si>
  <si>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</si>
  <si>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</si>
  <si>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</si>
  <si>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</si>
  <si>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</si>
  <si>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</si>
  <si>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</si>
  <si>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</si>
  <si>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</si>
  <si>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</si>
  <si>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</si>
  <si>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</si>
  <si>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</si>
  <si>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</si>
  <si>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</si>
  <si>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</si>
  <si>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</si>
  <si>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</si>
  <si>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</si>
  <si>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</si>
  <si>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</si>
  <si>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</si>
  <si>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</si>
  <si>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</si>
  <si>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</si>
  <si>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</si>
  <si>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</si>
  <si>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</si>
  <si>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</si>
  <si>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</si>
  <si>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</si>
  <si>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</si>
  <si>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</si>
  <si>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</si>
  <si>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</si>
  <si>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</si>
  <si>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</si>
  <si>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</si>
  <si>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</si>
  <si>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</si>
  <si>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</si>
  <si>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</si>
  <si>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</si>
  <si>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</si>
  <si>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</si>
  <si>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</si>
  <si>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</si>
  <si>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</si>
  <si>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</si>
  <si>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</si>
  <si>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</si>
  <si>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</si>
  <si>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</si>
  <si>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</si>
  <si>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</si>
  <si>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</si>
  <si>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</si>
  <si>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</si>
  <si>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</si>
  <si>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</si>
  <si>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</si>
  <si>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</si>
  <si>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</si>
  <si>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</si>
  <si>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</si>
  <si>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</si>
  <si>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</si>
  <si>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</si>
  <si>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</si>
  <si>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</si>
  <si>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</si>
  <si>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</si>
  <si>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</si>
  <si>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</si>
  <si>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</si>
  <si>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</si>
  <si>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</si>
  <si>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</si>
  <si>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</si>
  <si>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</si>
  <si>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</si>
  <si>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</si>
  <si>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</si>
  <si>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</si>
  <si>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</si>
  <si>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</si>
  <si>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</si>
  <si>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</si>
  <si>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</si>
  <si>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</si>
  <si>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</si>
  <si>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</si>
  <si>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</si>
  <si>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</si>
  <si>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</si>
  <si>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</si>
  <si>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</si>
  <si>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</si>
  <si>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</si>
  <si>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</si>
  <si>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</si>
  <si>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</si>
  <si>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</si>
  <si>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</si>
  <si>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</si>
  <si>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</si>
  <si>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</si>
  <si>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</si>
  <si>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</si>
  <si>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</si>
  <si>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</si>
  <si>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</si>
  <si>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</si>
  <si>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</si>
  <si>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</si>
  <si>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</si>
  <si>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</si>
  <si>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</si>
  <si>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</si>
  <si>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</si>
  <si>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</si>
  <si>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</si>
  <si>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</si>
  <si>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</si>
  <si>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</si>
  <si>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</si>
  <si>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</si>
  <si>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</si>
  <si>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</si>
  <si>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</si>
  <si>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</si>
  <si>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</si>
  <si>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</si>
  <si>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</si>
  <si>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</si>
  <si>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</si>
  <si>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</si>
  <si>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</si>
  <si>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</si>
  <si>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</si>
  <si>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</si>
  <si>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</si>
  <si>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</si>
  <si>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</si>
  <si>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</si>
  <si>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</si>
  <si>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</si>
  <si>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</si>
  <si>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</si>
  <si>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</si>
  <si>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</si>
  <si>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</si>
  <si>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</si>
  <si>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</si>
  <si>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</si>
  <si>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</si>
  <si>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</si>
  <si>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</si>
  <si>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</si>
  <si>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</si>
  <si>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</si>
  <si>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</si>
  <si>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</si>
  <si>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</si>
  <si>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</si>
  <si>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</si>
  <si>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</si>
  <si>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</si>
  <si>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</si>
  <si>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</si>
  <si>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</si>
  <si>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</si>
  <si>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</si>
  <si>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</si>
  <si>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</si>
  <si>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</si>
  <si>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</si>
  <si>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</si>
  <si>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</si>
  <si>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</si>
  <si>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</si>
  <si>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</si>
  <si>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</si>
  <si>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</si>
  <si>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</si>
  <si>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</si>
  <si>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</si>
  <si>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</si>
  <si>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</si>
  <si>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</si>
  <si>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</si>
  <si>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</si>
  <si>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</si>
  <si>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</si>
  <si>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</si>
  <si>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</si>
  <si>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</si>
  <si>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</si>
  <si>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</si>
  <si>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</si>
  <si>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</si>
  <si>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</si>
  <si>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</si>
  <si>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</si>
  <si>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</si>
  <si>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</si>
  <si>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</si>
  <si>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</si>
  <si>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</si>
  <si>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</si>
  <si>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</si>
  <si>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</si>
  <si>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</si>
  <si>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</si>
  <si>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</si>
  <si>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</si>
  <si>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</si>
  <si>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</si>
  <si>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</si>
  <si>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</si>
  <si>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</si>
  <si>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</si>
  <si>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</si>
  <si>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</si>
  <si>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</si>
  <si>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</si>
  <si>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</si>
  <si>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</si>
  <si>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</si>
  <si>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</si>
  <si>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</si>
  <si>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</si>
  <si>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</si>
  <si>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</si>
  <si>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</si>
  <si>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</si>
  <si>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</si>
  <si>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</si>
  <si>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</si>
  <si>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</si>
  <si>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</si>
  <si>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</si>
  <si>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</si>
  <si>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</si>
  <si>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</si>
  <si>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</si>
  <si>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</si>
  <si>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</si>
  <si>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</si>
  <si>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</si>
  <si>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</si>
  <si>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</si>
  <si>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</si>
  <si>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</si>
  <si>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</si>
  <si>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</si>
  <si>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</si>
  <si>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</si>
  <si>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</si>
  <si>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</si>
  <si>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</si>
  <si>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</si>
  <si>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</si>
  <si>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</si>
  <si>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</si>
  <si>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</si>
  <si>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</si>
  <si>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</si>
  <si>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</si>
  <si>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</si>
  <si>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</si>
  <si>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</si>
  <si>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</si>
  <si>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</si>
  <si>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</si>
  <si>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</si>
  <si>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</si>
  <si>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</si>
  <si>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</si>
  <si>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</si>
  <si>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</si>
  <si>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</si>
  <si>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</si>
  <si>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</si>
  <si>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</si>
  <si>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</si>
  <si>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</si>
  <si>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</si>
  <si>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</si>
  <si>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</si>
  <si>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</si>
  <si>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</si>
  <si>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</si>
  <si>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</si>
  <si>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</si>
  <si>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</si>
  <si>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</si>
  <si>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</si>
  <si>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</si>
  <si>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</si>
  <si>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</si>
  <si>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</si>
  <si>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</si>
  <si>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</si>
  <si>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</si>
  <si>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</si>
  <si>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</si>
  <si>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</si>
  <si>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</si>
  <si>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</si>
  <si>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</si>
  <si>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</si>
  <si>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</si>
  <si>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</si>
  <si>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</si>
  <si>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</si>
  <si>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</si>
  <si>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</si>
  <si>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</si>
  <si>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</si>
  <si>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</si>
  <si>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</si>
  <si>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</si>
  <si>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</si>
  <si>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</si>
  <si>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</si>
  <si>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</si>
  <si>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</si>
  <si>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</si>
  <si>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</si>
  <si>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</si>
  <si>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</si>
  <si>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</si>
  <si>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</si>
  <si>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</si>
  <si>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</si>
  <si>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</si>
  <si>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</si>
  <si>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</si>
  <si>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</si>
  <si>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</si>
  <si>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</si>
  <si>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</si>
  <si>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</si>
  <si>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</si>
  <si>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</si>
  <si>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</si>
  <si>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</si>
  <si>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</si>
  <si>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</si>
  <si>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</si>
  <si>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</si>
  <si>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</si>
  <si>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</si>
  <si>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</si>
  <si>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</si>
  <si>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</si>
  <si>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</si>
  <si>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</si>
  <si>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</si>
  <si>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</si>
  <si>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</si>
  <si>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</si>
  <si>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</si>
  <si>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</si>
  <si>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</si>
  <si>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</si>
  <si>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</si>
  <si>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</si>
  <si>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</si>
  <si>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</si>
  <si>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</si>
  <si>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</si>
  <si>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</si>
  <si>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</si>
  <si>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</si>
  <si>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</si>
  <si>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</si>
  <si>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</si>
  <si>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</si>
  <si>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</si>
  <si>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</si>
  <si>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</si>
  <si>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</si>
  <si>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</si>
  <si>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</si>
  <si>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</si>
  <si>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</si>
  <si>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</si>
  <si>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</si>
  <si>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</si>
  <si>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</si>
  <si>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</si>
  <si>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</si>
  <si>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</si>
  <si>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</si>
  <si>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</si>
  <si>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</si>
  <si>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</si>
  <si>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</si>
  <si>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</si>
  <si>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</si>
  <si>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</si>
  <si>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</si>
  <si>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</si>
  <si>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</si>
  <si>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</si>
  <si>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</si>
  <si>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</si>
  <si>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</si>
  <si>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</si>
  <si>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</si>
  <si>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</si>
  <si>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</si>
  <si>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</si>
  <si>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</si>
  <si>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</si>
  <si>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</si>
  <si>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</si>
  <si>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</si>
  <si>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</si>
  <si>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</si>
  <si>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</si>
  <si>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</si>
  <si>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</si>
  <si>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</si>
  <si>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</si>
  <si>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</si>
  <si>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</si>
  <si>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</si>
  <si>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</si>
  <si>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</si>
  <si>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</si>
  <si>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</si>
  <si>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</si>
  <si>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</si>
  <si>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</si>
  <si>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</si>
  <si>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</si>
  <si>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</si>
  <si>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</si>
  <si>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</si>
  <si>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</si>
  <si>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</si>
  <si>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</si>
  <si>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</si>
  <si>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</si>
  <si>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</si>
  <si>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</si>
  <si>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</si>
  <si>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</si>
  <si>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</si>
  <si>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</si>
  <si>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</si>
  <si>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</si>
  <si>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</si>
  <si>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</si>
  <si>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</si>
  <si>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</si>
  <si>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</si>
  <si>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</si>
  <si>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</si>
  <si>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</si>
  <si>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</si>
  <si>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</si>
  <si>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</si>
  <si>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</si>
  <si>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</si>
  <si>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</si>
  <si>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</si>
  <si>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</si>
  <si>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</si>
  <si>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</si>
  <si>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</si>
  <si>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</si>
  <si>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</si>
  <si>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</si>
  <si>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</si>
  <si>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</si>
  <si>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</si>
  <si>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</si>
  <si>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</si>
  <si>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</si>
  <si>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</si>
  <si>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</si>
  <si>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</si>
  <si>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</si>
  <si>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</si>
  <si>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</si>
  <si>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</si>
  <si>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</si>
  <si>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</si>
  <si>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</si>
  <si>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</si>
  <si>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</si>
  <si>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</si>
  <si>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</si>
  <si>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</si>
  <si>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</si>
  <si>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</si>
  <si>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</si>
  <si>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</si>
  <si>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</si>
  <si>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</si>
  <si>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</si>
  <si>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</si>
  <si>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</si>
  <si>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</si>
  <si>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</si>
  <si>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</si>
  <si>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</si>
  <si>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</si>
  <si>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</si>
  <si>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</si>
  <si>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</si>
  <si>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</si>
  <si>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</si>
  <si>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</si>
  <si>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</si>
  <si>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</si>
  <si>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</si>
  <si>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</si>
  <si>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</si>
  <si>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</si>
  <si>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</si>
  <si>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</si>
  <si>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</si>
  <si>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</si>
  <si>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</si>
  <si>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</si>
  <si>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</si>
  <si>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</si>
  <si>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</si>
  <si>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</si>
  <si>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</si>
  <si>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</si>
  <si>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</si>
  <si>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</si>
  <si>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</si>
  <si>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</si>
  <si>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</si>
  <si>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</si>
  <si>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</si>
  <si>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</si>
  <si>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</si>
  <si>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</si>
  <si>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</si>
  <si>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</si>
  <si>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</si>
  <si>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</si>
  <si>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</si>
  <si>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</si>
  <si>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</si>
  <si>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</si>
  <si>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</si>
  <si>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</si>
  <si>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</si>
  <si>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</si>
  <si>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</si>
  <si>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</si>
  <si>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</si>
  <si>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</si>
  <si>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</si>
  <si>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</si>
  <si>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</si>
  <si>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</si>
  <si>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</si>
  <si>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</si>
  <si>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</si>
  <si>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</si>
  <si>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</si>
  <si>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</si>
  <si>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</si>
  <si>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</si>
  <si>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</si>
  <si>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</si>
  <si>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</si>
  <si>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</si>
  <si>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</si>
  <si>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</si>
  <si>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</si>
  <si>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</si>
  <si>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</si>
  <si>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</si>
  <si>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</si>
  <si>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</si>
  <si>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</si>
  <si>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</si>
  <si>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</si>
  <si>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</si>
  <si>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</si>
  <si>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</si>
  <si>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</si>
  <si>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</si>
  <si>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</si>
  <si>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</si>
  <si>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</si>
  <si>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</si>
  <si>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</si>
  <si>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</si>
  <si>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</si>
  <si>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</si>
  <si>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</si>
  <si>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</si>
  <si>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</si>
  <si>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</si>
  <si>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</si>
  <si>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</si>
  <si>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</si>
  <si>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</si>
  <si>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</si>
  <si>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</si>
  <si>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</si>
  <si>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</si>
  <si>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</si>
  <si>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</si>
  <si>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</si>
  <si>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</si>
  <si>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</si>
  <si>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</si>
  <si>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</si>
  <si>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</si>
  <si>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</si>
  <si>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</si>
  <si>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</si>
  <si>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</si>
  <si>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</si>
  <si>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</si>
  <si>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</si>
  <si>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</si>
  <si>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</si>
  <si>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</si>
  <si>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</si>
  <si>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</si>
  <si>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</si>
  <si>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</si>
  <si>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</si>
  <si>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</si>
  <si>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</si>
  <si>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</si>
  <si>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</si>
  <si>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</si>
  <si>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</si>
  <si>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</si>
  <si>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</si>
  <si>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</si>
  <si>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</si>
  <si>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</si>
  <si>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</si>
  <si>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</si>
  <si>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</si>
  <si>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</si>
  <si>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</si>
  <si>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</si>
  <si>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</si>
  <si>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</si>
  <si>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</si>
  <si>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</si>
  <si>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</si>
  <si>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</si>
  <si>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</si>
  <si>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</si>
  <si>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</si>
  <si>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</si>
  <si>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</si>
  <si>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</si>
  <si>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</si>
  <si>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</si>
  <si>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</si>
  <si>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</si>
  <si>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</si>
  <si>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</si>
  <si>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</si>
  <si>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</si>
  <si>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</si>
  <si>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</si>
  <si>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</si>
  <si>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</si>
  <si>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</si>
  <si>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</si>
  <si>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</si>
  <si>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</si>
  <si>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</si>
  <si>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</si>
  <si>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</si>
  <si>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</si>
  <si>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</si>
  <si>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</si>
  <si>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</si>
  <si>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</si>
  <si>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</si>
  <si>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</si>
  <si>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</si>
  <si>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</si>
  <si>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</si>
  <si>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</si>
  <si>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</si>
  <si>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</si>
  <si>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</si>
  <si>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</si>
  <si>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</si>
  <si>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</si>
  <si>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</si>
  <si>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</si>
  <si>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</si>
  <si>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</si>
  <si>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</si>
  <si>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</si>
  <si>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</si>
  <si>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</si>
  <si>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</si>
  <si>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</si>
  <si>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</si>
  <si>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</si>
  <si>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</si>
  <si>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</si>
  <si>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</si>
  <si>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</si>
  <si>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</si>
  <si>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</si>
  <si>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</si>
  <si>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</si>
  <si>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</si>
  <si>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</si>
  <si>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</si>
  <si>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</si>
  <si>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</si>
  <si>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</si>
  <si>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</si>
  <si>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</si>
  <si>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</si>
  <si>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</si>
  <si>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</si>
  <si>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</si>
  <si>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</si>
  <si>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</si>
  <si>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</si>
  <si>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</si>
  <si>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</si>
  <si>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</si>
  <si>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</si>
  <si>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</si>
  <si>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</si>
  <si>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</si>
  <si>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</si>
  <si>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</si>
  <si>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</si>
  <si>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</si>
  <si>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</si>
  <si>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</si>
  <si>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</si>
  <si>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</si>
  <si>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</si>
  <si>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</si>
  <si>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</si>
  <si>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</si>
  <si>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</si>
  <si>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</si>
  <si>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</si>
  <si>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</si>
  <si>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</si>
  <si>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</si>
  <si>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</si>
  <si>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</si>
  <si>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</si>
  <si>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</si>
  <si>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</si>
  <si>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</si>
  <si>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</si>
  <si>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</si>
  <si>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</si>
  <si>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</si>
  <si>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</si>
  <si>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</si>
  <si>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</si>
  <si>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</si>
  <si>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</si>
  <si>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</si>
  <si>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</si>
  <si>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</si>
  <si>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</si>
  <si>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</si>
  <si>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</si>
  <si>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</si>
  <si>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</si>
  <si>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</si>
  <si>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</si>
  <si>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</si>
  <si>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</si>
  <si>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</si>
  <si>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</si>
  <si>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</si>
  <si>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</si>
  <si>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</si>
  <si>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</si>
  <si>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</si>
  <si>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</si>
  <si>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</si>
  <si>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</si>
  <si>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</si>
  <si>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</si>
  <si>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</si>
  <si>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</si>
  <si>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</si>
  <si>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</si>
  <si>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</si>
  <si>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</si>
  <si>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</si>
  <si>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</si>
  <si>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</si>
  <si>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</si>
  <si>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</si>
  <si>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</si>
  <si>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</si>
  <si>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</si>
  <si>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</si>
  <si>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</si>
  <si>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</si>
  <si>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</si>
  <si>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</si>
  <si>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</si>
  <si>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</si>
  <si>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</si>
  <si>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</si>
  <si>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</si>
  <si>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</si>
  <si>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</si>
  <si>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</si>
  <si>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</si>
  <si>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</si>
  <si>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</si>
  <si>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</si>
  <si>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</si>
  <si>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</si>
  <si>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</si>
  <si>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</si>
  <si>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</si>
  <si>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</si>
  <si>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</si>
  <si>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</si>
  <si>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</si>
  <si>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</si>
  <si>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</si>
  <si>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</si>
  <si>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</si>
  <si>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</si>
  <si>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</si>
  <si>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</si>
  <si>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</si>
  <si>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</si>
  <si>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</si>
  <si>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</si>
  <si>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</si>
  <si>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</si>
  <si>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</si>
  <si>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</si>
  <si>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</si>
  <si>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</si>
  <si>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</si>
  <si>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</si>
  <si>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</si>
  <si>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</si>
  <si>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</si>
  <si>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</si>
  <si>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</si>
  <si>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</si>
  <si>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</si>
  <si>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</si>
  <si>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</si>
  <si>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46014</t>
  </si>
  <si>
    <t>LOKEREN</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</si>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</sst>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92DFE43-F61C-46B6-B901-AEDF4F7D313B}"/>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325652.80217037635</c:v>
                </c:pt>
                <c:pt idx="1">
                  <c:v>183974.3491528572</c:v>
                </c:pt>
                <c:pt idx="2">
                  <c:v>2579.2570000000001</c:v>
                </c:pt>
                <c:pt idx="3">
                  <c:v>20791.101793239479</c:v>
                </c:pt>
                <c:pt idx="4">
                  <c:v>207059.55462660143</c:v>
                </c:pt>
                <c:pt idx="5">
                  <c:v>447480.60820647026</c:v>
                </c:pt>
                <c:pt idx="6">
                  <c:v>2040.4371235014987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325652.80217037635</c:v>
                </c:pt>
                <c:pt idx="1">
                  <c:v>183974.3491528572</c:v>
                </c:pt>
                <c:pt idx="2">
                  <c:v>2579.2570000000001</c:v>
                </c:pt>
                <c:pt idx="3">
                  <c:v>20791.101793239479</c:v>
                </c:pt>
                <c:pt idx="4">
                  <c:v>207059.55462660143</c:v>
                </c:pt>
                <c:pt idx="5">
                  <c:v>447480.60820647026</c:v>
                </c:pt>
                <c:pt idx="6">
                  <c:v>2040.4371235014987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68304.652805242396</c:v>
                </c:pt>
                <c:pt idx="2">
                  <c:v>37507.921314398787</c:v>
                </c:pt>
                <c:pt idx="3">
                  <c:v>531.62376261360077</c:v>
                </c:pt>
                <c:pt idx="4">
                  <c:v>5015.261676018923</c:v>
                </c:pt>
                <c:pt idx="5">
                  <c:v>43544.210761257797</c:v>
                </c:pt>
                <c:pt idx="6">
                  <c:v>112314.47384222934</c:v>
                </c:pt>
                <c:pt idx="7">
                  <c:v>514.67144824150159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68304.652805242396</c:v>
                </c:pt>
                <c:pt idx="2">
                  <c:v>37507.921314398787</c:v>
                </c:pt>
                <c:pt idx="3">
                  <c:v>531.62376261360077</c:v>
                </c:pt>
                <c:pt idx="4">
                  <c:v>5015.261676018923</c:v>
                </c:pt>
                <c:pt idx="5">
                  <c:v>43544.210761257797</c:v>
                </c:pt>
                <c:pt idx="6">
                  <c:v>112314.47384222934</c:v>
                </c:pt>
                <c:pt idx="7">
                  <c:v>514.67144824150159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46014</v>
      </c>
      <c r="B6" s="381"/>
      <c r="C6" s="382"/>
    </row>
    <row r="7" spans="1:7" s="379" customFormat="1" ht="15.75" customHeight="1">
      <c r="A7" s="383" t="str">
        <f>txtMunicipality</f>
        <v>LOKEREN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0.20611507989068198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0.20611507989068198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16230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3549</v>
      </c>
      <c r="C14" s="322"/>
      <c r="D14" s="322"/>
      <c r="E14" s="322"/>
      <c r="F14" s="322"/>
    </row>
    <row r="15" spans="1:6">
      <c r="A15" s="1261" t="s">
        <v>177</v>
      </c>
      <c r="B15" s="1262">
        <v>56</v>
      </c>
      <c r="C15" s="322"/>
      <c r="D15" s="322"/>
      <c r="E15" s="322"/>
      <c r="F15" s="322"/>
    </row>
    <row r="16" spans="1:6">
      <c r="A16" s="1261" t="s">
        <v>6</v>
      </c>
      <c r="B16" s="1262">
        <v>2359</v>
      </c>
      <c r="C16" s="322"/>
      <c r="D16" s="322"/>
      <c r="E16" s="322"/>
      <c r="F16" s="322"/>
    </row>
    <row r="17" spans="1:6">
      <c r="A17" s="1261" t="s">
        <v>7</v>
      </c>
      <c r="B17" s="1262">
        <v>1389</v>
      </c>
      <c r="C17" s="322"/>
      <c r="D17" s="322"/>
      <c r="E17" s="322"/>
      <c r="F17" s="322"/>
    </row>
    <row r="18" spans="1:6">
      <c r="A18" s="1261" t="s">
        <v>8</v>
      </c>
      <c r="B18" s="1262">
        <v>2555</v>
      </c>
      <c r="C18" s="322"/>
      <c r="D18" s="322"/>
      <c r="E18" s="322"/>
      <c r="F18" s="322"/>
    </row>
    <row r="19" spans="1:6">
      <c r="A19" s="1261" t="s">
        <v>9</v>
      </c>
      <c r="B19" s="1262">
        <v>3329</v>
      </c>
      <c r="C19" s="322"/>
      <c r="D19" s="322"/>
      <c r="E19" s="322"/>
      <c r="F19" s="322"/>
    </row>
    <row r="20" spans="1:6">
      <c r="A20" s="1261" t="s">
        <v>10</v>
      </c>
      <c r="B20" s="1262">
        <v>2124</v>
      </c>
      <c r="C20" s="322"/>
      <c r="D20" s="322"/>
      <c r="E20" s="322"/>
      <c r="F20" s="322"/>
    </row>
    <row r="21" spans="1:6">
      <c r="A21" s="1261" t="s">
        <v>11</v>
      </c>
      <c r="B21" s="1262">
        <v>6173</v>
      </c>
      <c r="C21" s="322"/>
      <c r="D21" s="322"/>
      <c r="E21" s="322"/>
      <c r="F21" s="322"/>
    </row>
    <row r="22" spans="1:6">
      <c r="A22" s="1261" t="s">
        <v>12</v>
      </c>
      <c r="B22" s="1262">
        <v>12766</v>
      </c>
      <c r="C22" s="322"/>
      <c r="D22" s="322"/>
      <c r="E22" s="322"/>
      <c r="F22" s="322"/>
    </row>
    <row r="23" spans="1:6">
      <c r="A23" s="1261" t="s">
        <v>13</v>
      </c>
      <c r="B23" s="1262">
        <v>263</v>
      </c>
      <c r="C23" s="322"/>
      <c r="D23" s="322"/>
      <c r="E23" s="322"/>
      <c r="F23" s="322"/>
    </row>
    <row r="24" spans="1:6">
      <c r="A24" s="1261" t="s">
        <v>14</v>
      </c>
      <c r="B24" s="1262">
        <v>11</v>
      </c>
      <c r="C24" s="322"/>
      <c r="D24" s="322"/>
      <c r="E24" s="322"/>
      <c r="F24" s="322"/>
    </row>
    <row r="25" spans="1:6">
      <c r="A25" s="1261" t="s">
        <v>15</v>
      </c>
      <c r="B25" s="1262">
        <v>1354</v>
      </c>
      <c r="C25" s="322"/>
      <c r="D25" s="322"/>
      <c r="E25" s="322"/>
      <c r="F25" s="322"/>
    </row>
    <row r="26" spans="1:6">
      <c r="A26" s="1261" t="s">
        <v>16</v>
      </c>
      <c r="B26" s="1262">
        <v>96</v>
      </c>
      <c r="C26" s="322"/>
      <c r="D26" s="322"/>
      <c r="E26" s="322"/>
      <c r="F26" s="322"/>
    </row>
    <row r="27" spans="1:6">
      <c r="A27" s="1261" t="s">
        <v>17</v>
      </c>
      <c r="B27" s="1262">
        <v>96</v>
      </c>
      <c r="C27" s="322"/>
      <c r="D27" s="322"/>
      <c r="E27" s="322"/>
      <c r="F27" s="322"/>
    </row>
    <row r="28" spans="1:6">
      <c r="A28" s="1261" t="s">
        <v>18</v>
      </c>
      <c r="B28" s="1263">
        <v>149916</v>
      </c>
      <c r="C28" s="322"/>
      <c r="D28" s="322"/>
      <c r="E28" s="322"/>
      <c r="F28" s="322"/>
    </row>
    <row r="29" spans="1:6">
      <c r="A29" s="1261" t="s">
        <v>901</v>
      </c>
      <c r="B29" s="1263">
        <v>227</v>
      </c>
      <c r="C29" s="322"/>
      <c r="D29" s="322"/>
      <c r="E29" s="322"/>
      <c r="F29" s="322"/>
    </row>
    <row r="30" spans="1:6">
      <c r="A30" s="1256" t="s">
        <v>902</v>
      </c>
      <c r="B30" s="1264">
        <v>54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3</v>
      </c>
      <c r="F35" s="1262">
        <v>5446.2640000000001</v>
      </c>
    </row>
    <row r="36" spans="1:6">
      <c r="A36" s="1261" t="s">
        <v>24</v>
      </c>
      <c r="B36" s="1261" t="s">
        <v>26</v>
      </c>
      <c r="C36" s="1262">
        <v>3</v>
      </c>
      <c r="D36" s="1262">
        <v>1085538.9431729501</v>
      </c>
      <c r="E36" s="1262">
        <v>5</v>
      </c>
      <c r="F36" s="1262">
        <v>787615.2</v>
      </c>
    </row>
    <row r="37" spans="1:6">
      <c r="A37" s="1261" t="s">
        <v>24</v>
      </c>
      <c r="B37" s="1261" t="s">
        <v>27</v>
      </c>
      <c r="C37" s="1262">
        <v>0</v>
      </c>
      <c r="D37" s="1262">
        <v>0</v>
      </c>
      <c r="E37" s="1262">
        <v>0</v>
      </c>
      <c r="F37" s="1262">
        <v>0</v>
      </c>
    </row>
    <row r="38" spans="1:6">
      <c r="A38" s="1261" t="s">
        <v>24</v>
      </c>
      <c r="B38" s="1261" t="s">
        <v>28</v>
      </c>
      <c r="C38" s="1262">
        <v>1</v>
      </c>
      <c r="D38" s="1262">
        <v>145225.93124272401</v>
      </c>
      <c r="E38" s="1262">
        <v>0</v>
      </c>
      <c r="F38" s="1262">
        <v>0</v>
      </c>
    </row>
    <row r="39" spans="1:6">
      <c r="A39" s="1261" t="s">
        <v>29</v>
      </c>
      <c r="B39" s="1261" t="s">
        <v>30</v>
      </c>
      <c r="C39" s="1262">
        <v>10911</v>
      </c>
      <c r="D39" s="1262">
        <v>149284737.242686</v>
      </c>
      <c r="E39" s="1262">
        <v>16107</v>
      </c>
      <c r="F39" s="1262">
        <v>66827746</v>
      </c>
    </row>
    <row r="40" spans="1:6">
      <c r="A40" s="1261" t="s">
        <v>29</v>
      </c>
      <c r="B40" s="1261" t="s">
        <v>28</v>
      </c>
      <c r="C40" s="1262">
        <v>0</v>
      </c>
      <c r="D40" s="1262">
        <v>0</v>
      </c>
      <c r="E40" s="1262">
        <v>0</v>
      </c>
      <c r="F40" s="1262">
        <v>0</v>
      </c>
    </row>
    <row r="41" spans="1:6">
      <c r="A41" s="1261" t="s">
        <v>31</v>
      </c>
      <c r="B41" s="1261" t="s">
        <v>32</v>
      </c>
      <c r="C41" s="1262">
        <v>174</v>
      </c>
      <c r="D41" s="1262">
        <v>5478977.79169486</v>
      </c>
      <c r="E41" s="1262">
        <v>342</v>
      </c>
      <c r="F41" s="1262">
        <v>17329883</v>
      </c>
    </row>
    <row r="42" spans="1:6">
      <c r="A42" s="1261" t="s">
        <v>31</v>
      </c>
      <c r="B42" s="1261" t="s">
        <v>33</v>
      </c>
      <c r="C42" s="1262">
        <v>0</v>
      </c>
      <c r="D42" s="1262">
        <v>0</v>
      </c>
      <c r="E42" s="1262">
        <v>3</v>
      </c>
      <c r="F42" s="1262">
        <v>157791.1</v>
      </c>
    </row>
    <row r="43" spans="1:6">
      <c r="A43" s="1261" t="s">
        <v>31</v>
      </c>
      <c r="B43" s="1261" t="s">
        <v>34</v>
      </c>
      <c r="C43" s="1262">
        <v>0</v>
      </c>
      <c r="D43" s="1262">
        <v>0</v>
      </c>
      <c r="E43" s="1262">
        <v>0</v>
      </c>
      <c r="F43" s="1262">
        <v>0</v>
      </c>
    </row>
    <row r="44" spans="1:6">
      <c r="A44" s="1261" t="s">
        <v>31</v>
      </c>
      <c r="B44" s="1261" t="s">
        <v>35</v>
      </c>
      <c r="C44" s="1262">
        <v>26</v>
      </c>
      <c r="D44" s="1262">
        <v>9867850.2363645807</v>
      </c>
      <c r="E44" s="1262">
        <v>53</v>
      </c>
      <c r="F44" s="1262">
        <v>5107166</v>
      </c>
    </row>
    <row r="45" spans="1:6">
      <c r="A45" s="1261" t="s">
        <v>31</v>
      </c>
      <c r="B45" s="1261" t="s">
        <v>36</v>
      </c>
      <c r="C45" s="1262">
        <v>0</v>
      </c>
      <c r="D45" s="1262">
        <v>0</v>
      </c>
      <c r="E45" s="1262">
        <v>6</v>
      </c>
      <c r="F45" s="1262">
        <v>324587.8</v>
      </c>
    </row>
    <row r="46" spans="1:6">
      <c r="A46" s="1261" t="s">
        <v>31</v>
      </c>
      <c r="B46" s="1261" t="s">
        <v>37</v>
      </c>
      <c r="C46" s="1262">
        <v>0</v>
      </c>
      <c r="D46" s="1262">
        <v>0</v>
      </c>
      <c r="E46" s="1262">
        <v>0</v>
      </c>
      <c r="F46" s="1262">
        <v>0</v>
      </c>
    </row>
    <row r="47" spans="1:6">
      <c r="A47" s="1261" t="s">
        <v>31</v>
      </c>
      <c r="B47" s="1261" t="s">
        <v>38</v>
      </c>
      <c r="C47" s="1262">
        <v>3</v>
      </c>
      <c r="D47" s="1262">
        <v>165525.50098582599</v>
      </c>
      <c r="E47" s="1262">
        <v>5</v>
      </c>
      <c r="F47" s="1262">
        <v>250209.8</v>
      </c>
    </row>
    <row r="48" spans="1:6">
      <c r="A48" s="1261" t="s">
        <v>31</v>
      </c>
      <c r="B48" s="1261" t="s">
        <v>28</v>
      </c>
      <c r="C48" s="1262">
        <v>46</v>
      </c>
      <c r="D48" s="1262">
        <v>10624114.266501401</v>
      </c>
      <c r="E48" s="1262">
        <v>59</v>
      </c>
      <c r="F48" s="1262">
        <v>35453817</v>
      </c>
    </row>
    <row r="49" spans="1:6">
      <c r="A49" s="1261" t="s">
        <v>31</v>
      </c>
      <c r="B49" s="1261" t="s">
        <v>39</v>
      </c>
      <c r="C49" s="1262">
        <v>3</v>
      </c>
      <c r="D49" s="1262">
        <v>4553808.1697106501</v>
      </c>
      <c r="E49" s="1262">
        <v>0</v>
      </c>
      <c r="F49" s="1262">
        <v>0</v>
      </c>
    </row>
    <row r="50" spans="1:6">
      <c r="A50" s="1261" t="s">
        <v>31</v>
      </c>
      <c r="B50" s="1261" t="s">
        <v>40</v>
      </c>
      <c r="C50" s="1262">
        <v>40</v>
      </c>
      <c r="D50" s="1262">
        <v>22489970.3385951</v>
      </c>
      <c r="E50" s="1262">
        <v>60</v>
      </c>
      <c r="F50" s="1262">
        <v>19356957</v>
      </c>
    </row>
    <row r="51" spans="1:6">
      <c r="A51" s="1261" t="s">
        <v>41</v>
      </c>
      <c r="B51" s="1261" t="s">
        <v>42</v>
      </c>
      <c r="C51" s="1262">
        <v>44</v>
      </c>
      <c r="D51" s="1262">
        <v>4246351.2316533802</v>
      </c>
      <c r="E51" s="1262">
        <v>196</v>
      </c>
      <c r="F51" s="1262">
        <v>3390407</v>
      </c>
    </row>
    <row r="52" spans="1:6">
      <c r="A52" s="1261" t="s">
        <v>41</v>
      </c>
      <c r="B52" s="1261" t="s">
        <v>28</v>
      </c>
      <c r="C52" s="1262">
        <v>8</v>
      </c>
      <c r="D52" s="1262">
        <v>1336404.02849404</v>
      </c>
      <c r="E52" s="1262">
        <v>12</v>
      </c>
      <c r="F52" s="1262">
        <v>207711.6</v>
      </c>
    </row>
    <row r="53" spans="1:6">
      <c r="A53" s="1261" t="s">
        <v>43</v>
      </c>
      <c r="B53" s="1261" t="s">
        <v>44</v>
      </c>
      <c r="C53" s="1262">
        <v>292</v>
      </c>
      <c r="D53" s="1262">
        <v>5450157.6683092602</v>
      </c>
      <c r="E53" s="1262">
        <v>563</v>
      </c>
      <c r="F53" s="1262">
        <v>2190892</v>
      </c>
    </row>
    <row r="54" spans="1:6">
      <c r="A54" s="1261" t="s">
        <v>45</v>
      </c>
      <c r="B54" s="1261" t="s">
        <v>46</v>
      </c>
      <c r="C54" s="1262">
        <v>0</v>
      </c>
      <c r="D54" s="1262">
        <v>0</v>
      </c>
      <c r="E54" s="1262">
        <v>6</v>
      </c>
      <c r="F54" s="1262">
        <v>2579257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121</v>
      </c>
      <c r="D57" s="1262">
        <v>21708817.682917401</v>
      </c>
      <c r="E57" s="1262">
        <v>254</v>
      </c>
      <c r="F57" s="1262">
        <v>9540657</v>
      </c>
    </row>
    <row r="58" spans="1:6">
      <c r="A58" s="1261" t="s">
        <v>48</v>
      </c>
      <c r="B58" s="1261" t="s">
        <v>50</v>
      </c>
      <c r="C58" s="1262">
        <v>78</v>
      </c>
      <c r="D58" s="1262">
        <v>8094269.0889665503</v>
      </c>
      <c r="E58" s="1262">
        <v>122</v>
      </c>
      <c r="F58" s="1262">
        <v>2557878</v>
      </c>
    </row>
    <row r="59" spans="1:6">
      <c r="A59" s="1261" t="s">
        <v>48</v>
      </c>
      <c r="B59" s="1261" t="s">
        <v>51</v>
      </c>
      <c r="C59" s="1262">
        <v>269</v>
      </c>
      <c r="D59" s="1262">
        <v>34541223.308936499</v>
      </c>
      <c r="E59" s="1262">
        <v>556</v>
      </c>
      <c r="F59" s="1262">
        <v>33714104</v>
      </c>
    </row>
    <row r="60" spans="1:6">
      <c r="A60" s="1261" t="s">
        <v>48</v>
      </c>
      <c r="B60" s="1261" t="s">
        <v>52</v>
      </c>
      <c r="C60" s="1262">
        <v>129</v>
      </c>
      <c r="D60" s="1262">
        <v>5565612.3618545597</v>
      </c>
      <c r="E60" s="1262">
        <v>169</v>
      </c>
      <c r="F60" s="1262">
        <v>4343613</v>
      </c>
    </row>
    <row r="61" spans="1:6">
      <c r="A61" s="1261" t="s">
        <v>48</v>
      </c>
      <c r="B61" s="1261" t="s">
        <v>53</v>
      </c>
      <c r="C61" s="1262">
        <v>309</v>
      </c>
      <c r="D61" s="1262">
        <v>10492489.542649601</v>
      </c>
      <c r="E61" s="1262">
        <v>638</v>
      </c>
      <c r="F61" s="1262">
        <v>8985703</v>
      </c>
    </row>
    <row r="62" spans="1:6">
      <c r="A62" s="1261" t="s">
        <v>48</v>
      </c>
      <c r="B62" s="1261" t="s">
        <v>54</v>
      </c>
      <c r="C62" s="1262">
        <v>28</v>
      </c>
      <c r="D62" s="1262">
        <v>4073251.9425143399</v>
      </c>
      <c r="E62" s="1262">
        <v>38</v>
      </c>
      <c r="F62" s="1262">
        <v>1764180</v>
      </c>
    </row>
    <row r="63" spans="1:6">
      <c r="A63" s="1261" t="s">
        <v>48</v>
      </c>
      <c r="B63" s="1261" t="s">
        <v>28</v>
      </c>
      <c r="C63" s="1262">
        <v>102</v>
      </c>
      <c r="D63" s="1262">
        <v>17607018.682290401</v>
      </c>
      <c r="E63" s="1262">
        <v>104</v>
      </c>
      <c r="F63" s="1262">
        <v>8310628</v>
      </c>
    </row>
    <row r="64" spans="1:6">
      <c r="A64" s="1261" t="s">
        <v>55</v>
      </c>
      <c r="B64" s="1261" t="s">
        <v>56</v>
      </c>
      <c r="C64" s="1262">
        <v>0</v>
      </c>
      <c r="D64" s="1262">
        <v>0</v>
      </c>
      <c r="E64" s="1262">
        <v>0</v>
      </c>
      <c r="F64" s="1262">
        <v>0</v>
      </c>
    </row>
    <row r="65" spans="1:6">
      <c r="A65" s="1261" t="s">
        <v>55</v>
      </c>
      <c r="B65" s="1261" t="s">
        <v>28</v>
      </c>
      <c r="C65" s="1262">
        <v>2</v>
      </c>
      <c r="D65" s="1262">
        <v>33545.416662328797</v>
      </c>
      <c r="E65" s="1262">
        <v>2</v>
      </c>
      <c r="F65" s="1262">
        <v>16047.26</v>
      </c>
    </row>
    <row r="66" spans="1:6">
      <c r="A66" s="1261" t="s">
        <v>55</v>
      </c>
      <c r="B66" s="1261" t="s">
        <v>57</v>
      </c>
      <c r="C66" s="1262">
        <v>0</v>
      </c>
      <c r="D66" s="1262">
        <v>0</v>
      </c>
      <c r="E66" s="1262">
        <v>17</v>
      </c>
      <c r="F66" s="1262">
        <v>930635.4</v>
      </c>
    </row>
    <row r="67" spans="1:6">
      <c r="A67" s="1261" t="s">
        <v>55</v>
      </c>
      <c r="B67" s="1261" t="s">
        <v>58</v>
      </c>
      <c r="C67" s="1262">
        <v>0</v>
      </c>
      <c r="D67" s="1262">
        <v>0</v>
      </c>
      <c r="E67" s="1262">
        <v>0</v>
      </c>
      <c r="F67" s="1262">
        <v>0</v>
      </c>
    </row>
    <row r="68" spans="1:6">
      <c r="A68" s="1256" t="s">
        <v>55</v>
      </c>
      <c r="B68" s="1256" t="s">
        <v>59</v>
      </c>
      <c r="C68" s="1264">
        <v>5</v>
      </c>
      <c r="D68" s="1264">
        <v>73379.606626435096</v>
      </c>
      <c r="E68" s="1264">
        <v>28</v>
      </c>
      <c r="F68" s="1264">
        <v>247298.4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92967692</v>
      </c>
      <c r="E73" s="440"/>
      <c r="F73" s="322"/>
    </row>
    <row r="74" spans="1:6">
      <c r="A74" s="1261" t="s">
        <v>63</v>
      </c>
      <c r="B74" s="1261" t="s">
        <v>670</v>
      </c>
      <c r="C74" s="1274" t="s">
        <v>672</v>
      </c>
      <c r="D74" s="1262">
        <v>8525840.6812008452</v>
      </c>
      <c r="E74" s="440"/>
      <c r="F74" s="322"/>
    </row>
    <row r="75" spans="1:6">
      <c r="A75" s="1261" t="s">
        <v>64</v>
      </c>
      <c r="B75" s="1261" t="s">
        <v>669</v>
      </c>
      <c r="C75" s="1274" t="s">
        <v>673</v>
      </c>
      <c r="D75" s="1262">
        <v>62885242</v>
      </c>
      <c r="E75" s="440"/>
      <c r="F75" s="322"/>
    </row>
    <row r="76" spans="1:6">
      <c r="A76" s="1261" t="s">
        <v>64</v>
      </c>
      <c r="B76" s="1261" t="s">
        <v>670</v>
      </c>
      <c r="C76" s="1274" t="s">
        <v>674</v>
      </c>
      <c r="D76" s="1262">
        <v>4004032.6812008447</v>
      </c>
      <c r="E76" s="440"/>
      <c r="F76" s="322"/>
    </row>
    <row r="77" spans="1:6">
      <c r="A77" s="1261" t="s">
        <v>65</v>
      </c>
      <c r="B77" s="1261" t="s">
        <v>669</v>
      </c>
      <c r="C77" s="1274" t="s">
        <v>675</v>
      </c>
      <c r="D77" s="1262">
        <v>223613195</v>
      </c>
      <c r="E77" s="440"/>
      <c r="F77" s="322"/>
    </row>
    <row r="78" spans="1:6">
      <c r="A78" s="1256" t="s">
        <v>65</v>
      </c>
      <c r="B78" s="1256" t="s">
        <v>670</v>
      </c>
      <c r="C78" s="1256" t="s">
        <v>676</v>
      </c>
      <c r="D78" s="1264">
        <v>55398829</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548026.63759831048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6860.3220796323158</v>
      </c>
      <c r="C91" s="322"/>
      <c r="D91" s="322"/>
      <c r="E91" s="322"/>
      <c r="F91" s="322"/>
    </row>
    <row r="92" spans="1:6">
      <c r="A92" s="1256" t="s">
        <v>68</v>
      </c>
      <c r="B92" s="1257">
        <v>8541.4554869115582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6443</v>
      </c>
      <c r="C97" s="322"/>
      <c r="D97" s="322"/>
      <c r="E97" s="322"/>
      <c r="F97" s="322"/>
    </row>
    <row r="98" spans="1:6">
      <c r="A98" s="1261" t="s">
        <v>71</v>
      </c>
      <c r="B98" s="1262">
        <v>1</v>
      </c>
      <c r="C98" s="322"/>
      <c r="D98" s="322"/>
      <c r="E98" s="322"/>
      <c r="F98" s="322"/>
    </row>
    <row r="99" spans="1:6">
      <c r="A99" s="1261" t="s">
        <v>72</v>
      </c>
      <c r="B99" s="1262">
        <v>183</v>
      </c>
      <c r="C99" s="322"/>
      <c r="D99" s="322"/>
      <c r="E99" s="322"/>
      <c r="F99" s="322"/>
    </row>
    <row r="100" spans="1:6">
      <c r="A100" s="1261" t="s">
        <v>73</v>
      </c>
      <c r="B100" s="1262">
        <v>1668</v>
      </c>
      <c r="C100" s="322"/>
      <c r="D100" s="322"/>
      <c r="E100" s="322"/>
      <c r="F100" s="322"/>
    </row>
    <row r="101" spans="1:6">
      <c r="A101" s="1261" t="s">
        <v>74</v>
      </c>
      <c r="B101" s="1262">
        <v>249</v>
      </c>
      <c r="C101" s="322"/>
      <c r="D101" s="322"/>
      <c r="E101" s="322"/>
      <c r="F101" s="322"/>
    </row>
    <row r="102" spans="1:6">
      <c r="A102" s="1261" t="s">
        <v>75</v>
      </c>
      <c r="B102" s="1262">
        <v>343</v>
      </c>
      <c r="C102" s="322"/>
      <c r="D102" s="322"/>
      <c r="E102" s="322"/>
      <c r="F102" s="322"/>
    </row>
    <row r="103" spans="1:6">
      <c r="A103" s="1261" t="s">
        <v>76</v>
      </c>
      <c r="B103" s="1262">
        <v>650</v>
      </c>
      <c r="C103" s="322"/>
      <c r="D103" s="322"/>
      <c r="E103" s="322"/>
      <c r="F103" s="322"/>
    </row>
    <row r="104" spans="1:6">
      <c r="A104" s="1261" t="s">
        <v>77</v>
      </c>
      <c r="B104" s="1262">
        <v>4453</v>
      </c>
      <c r="C104" s="322"/>
      <c r="D104" s="322"/>
      <c r="E104" s="322"/>
      <c r="F104" s="322"/>
    </row>
    <row r="105" spans="1:6">
      <c r="A105" s="1256" t="s">
        <v>78</v>
      </c>
      <c r="B105" s="1264">
        <v>20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50</v>
      </c>
      <c r="C123" s="1262">
        <v>58</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208</v>
      </c>
      <c r="C129" s="322"/>
      <c r="D129" s="322"/>
      <c r="E129" s="322"/>
      <c r="F129" s="322"/>
    </row>
    <row r="130" spans="1:6">
      <c r="A130" s="1261" t="s">
        <v>284</v>
      </c>
      <c r="B130" s="1262">
        <v>7</v>
      </c>
      <c r="C130" s="322"/>
      <c r="D130" s="322"/>
      <c r="E130" s="322"/>
      <c r="F130" s="322"/>
    </row>
    <row r="131" spans="1:6">
      <c r="A131" s="1261" t="s">
        <v>285</v>
      </c>
      <c r="B131" s="1262">
        <v>7</v>
      </c>
      <c r="C131" s="322"/>
      <c r="D131" s="322"/>
      <c r="E131" s="322"/>
      <c r="F131" s="322"/>
    </row>
    <row r="132" spans="1:6">
      <c r="A132" s="1256" t="s">
        <v>286</v>
      </c>
      <c r="B132" s="1257">
        <v>35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229321.98944550351</v>
      </c>
      <c r="C3" s="43" t="s">
        <v>163</v>
      </c>
      <c r="D3" s="43"/>
      <c r="E3" s="153"/>
      <c r="F3" s="43"/>
      <c r="G3" s="43"/>
      <c r="H3" s="43"/>
      <c r="I3" s="43"/>
      <c r="J3" s="43"/>
      <c r="K3" s="96"/>
    </row>
    <row r="4" spans="1:11">
      <c r="A4" s="349" t="s">
        <v>164</v>
      </c>
      <c r="B4" s="49">
        <f>IF(ISERROR('SEAP template'!B78+'SEAP template'!C78),0,'SEAP template'!B78+'SEAP template'!C78)</f>
        <v>15445.427566543874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0.20611507989068198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2579.2570000000001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2579.2570000000001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0.20611507989068198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531.62376261360077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66827.745999999999</v>
      </c>
      <c r="C5" s="17">
        <f>IF(ISERROR('Eigen informatie GS &amp; warmtenet'!B57),0,'Eigen informatie GS &amp; warmtenet'!B57)</f>
        <v>0</v>
      </c>
      <c r="D5" s="30">
        <f>(SUM(HH_hh_gas_kWh,HH_rest_gas_kWh)/1000)*0.902</f>
        <v>134654.83299290278</v>
      </c>
      <c r="E5" s="17">
        <f>B32*B41</f>
        <v>2908.5140794104504</v>
      </c>
      <c r="F5" s="17">
        <f>B36*B45</f>
        <v>91754.545207802032</v>
      </c>
      <c r="G5" s="18"/>
      <c r="H5" s="17"/>
      <c r="I5" s="17"/>
      <c r="J5" s="17">
        <f>B35*B44+C35*C44</f>
        <v>2139.7125280883888</v>
      </c>
      <c r="K5" s="17"/>
      <c r="L5" s="17"/>
      <c r="M5" s="17"/>
      <c r="N5" s="17">
        <f>B34*B43+C34*C43</f>
        <v>18449.985949207155</v>
      </c>
      <c r="O5" s="17">
        <f>B52*B53*B54</f>
        <v>417.41</v>
      </c>
      <c r="P5" s="17">
        <f>B60*B61*B62/1000-B60*B61*B62/1000/B63</f>
        <v>1639.7333333333333</v>
      </c>
    </row>
    <row r="6" spans="1:16">
      <c r="A6" s="16" t="s">
        <v>593</v>
      </c>
      <c r="B6" s="717">
        <f>kWh_PV_kleiner_dan_10kW</f>
        <v>6860.3220796323158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73688.068079632314</v>
      </c>
      <c r="C8" s="21">
        <f>C5</f>
        <v>0</v>
      </c>
      <c r="D8" s="21">
        <f>D5</f>
        <v>134654.83299290278</v>
      </c>
      <c r="E8" s="21">
        <f>E5</f>
        <v>2908.5140794104504</v>
      </c>
      <c r="F8" s="21">
        <f>F5</f>
        <v>91754.545207802032</v>
      </c>
      <c r="G8" s="21"/>
      <c r="H8" s="21"/>
      <c r="I8" s="21"/>
      <c r="J8" s="21">
        <f>J5</f>
        <v>2139.7125280883888</v>
      </c>
      <c r="K8" s="21"/>
      <c r="L8" s="21">
        <f>L5</f>
        <v>0</v>
      </c>
      <c r="M8" s="21">
        <f>M5</f>
        <v>0</v>
      </c>
      <c r="N8" s="21">
        <f>N5</f>
        <v>18449.985949207155</v>
      </c>
      <c r="O8" s="21">
        <f>O5</f>
        <v>417.41</v>
      </c>
      <c r="P8" s="21">
        <f>P5</f>
        <v>1639.7333333333333</v>
      </c>
    </row>
    <row r="9" spans="1:16">
      <c r="B9" s="19"/>
      <c r="C9" s="19"/>
      <c r="D9" s="253"/>
      <c r="E9" s="19"/>
      <c r="F9" s="19"/>
      <c r="G9" s="19"/>
      <c r="H9" s="19"/>
      <c r="I9" s="19"/>
      <c r="J9" s="19"/>
      <c r="K9" s="19"/>
      <c r="L9" s="19"/>
      <c r="M9" s="19"/>
      <c r="N9" s="19"/>
      <c r="O9" s="19"/>
      <c r="P9" s="19"/>
    </row>
    <row r="10" spans="1:16">
      <c r="A10" s="24" t="s">
        <v>207</v>
      </c>
      <c r="B10" s="25">
        <f ca="1">'EF ele_warmte'!B12</f>
        <v>0.20611507989068198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15188.222039223427</v>
      </c>
      <c r="C12" s="23">
        <f ca="1">C10*C8</f>
        <v>0</v>
      </c>
      <c r="D12" s="23">
        <f>D8*D10</f>
        <v>27200.276264566364</v>
      </c>
      <c r="E12" s="23">
        <f>E10*E8</f>
        <v>660.23269602617222</v>
      </c>
      <c r="F12" s="23">
        <f>F10*F8</f>
        <v>24498.463570483145</v>
      </c>
      <c r="G12" s="23"/>
      <c r="H12" s="23"/>
      <c r="I12" s="23"/>
      <c r="J12" s="23">
        <f>J10*J8</f>
        <v>757.45823494328965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16230</v>
      </c>
      <c r="C26" s="36"/>
      <c r="D26" s="224"/>
    </row>
    <row r="27" spans="1:5" s="15" customFormat="1">
      <c r="A27" s="226" t="s">
        <v>696</v>
      </c>
      <c r="B27" s="37">
        <f>SUM(HH_hh_gas_aantal,HH_rest_gas_aantal)</f>
        <v>10911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10365.450000000001</v>
      </c>
      <c r="C31" s="34" t="s">
        <v>104</v>
      </c>
      <c r="D31" s="170"/>
    </row>
    <row r="32" spans="1:5">
      <c r="A32" s="167" t="s">
        <v>72</v>
      </c>
      <c r="B32" s="33">
        <f>IF((B21*($B$26-($B$27-0.05*$B$27)-$B$60))&lt;0,0,B21*($B$26-($B$27-0.05*$B$27)-$B$60))</f>
        <v>36.435031629063253</v>
      </c>
      <c r="C32" s="34" t="s">
        <v>104</v>
      </c>
      <c r="D32" s="170"/>
    </row>
    <row r="33" spans="1:6">
      <c r="A33" s="167" t="s">
        <v>73</v>
      </c>
      <c r="B33" s="33">
        <f>IF((B22*($B$26-($B$27-0.05*$B$27)-$B$60))&lt;0,0,B22*($B$26-($B$27-0.05*$B$27)-$B$60))</f>
        <v>1268.8001593917168</v>
      </c>
      <c r="C33" s="34" t="s">
        <v>104</v>
      </c>
      <c r="D33" s="170"/>
    </row>
    <row r="34" spans="1:6">
      <c r="A34" s="167" t="s">
        <v>74</v>
      </c>
      <c r="B34" s="33">
        <f>IF((B24*($B$26-($B$27-0.05*$B$27)-$B$60))&lt;0,0,B24*($B$26-($B$27-0.05*$B$27)-$B$60))</f>
        <v>251.85121856164514</v>
      </c>
      <c r="C34" s="33">
        <f>B26*C24</f>
        <v>3320.6528457496183</v>
      </c>
      <c r="D34" s="229"/>
    </row>
    <row r="35" spans="1:6">
      <c r="A35" s="167" t="s">
        <v>76</v>
      </c>
      <c r="B35" s="33">
        <f>IF((B19*($B$26-($B$27-0.05*$B$27)-$B$60))&lt;0,0,B19*($B$26-($B$27-0.05*$B$27)-$B$60))</f>
        <v>123.04364293999508</v>
      </c>
      <c r="C35" s="33">
        <f>B35/2</f>
        <v>61.521821469997541</v>
      </c>
      <c r="D35" s="229"/>
    </row>
    <row r="36" spans="1:6">
      <c r="A36" s="167" t="s">
        <v>77</v>
      </c>
      <c r="B36" s="33">
        <f>IF((B18*($B$26-($B$27-0.05*$B$27)-$B$60))&lt;0,0,B18*($B$26-($B$27-0.05*$B$27)-$B$60))</f>
        <v>4098.4199474775805</v>
      </c>
      <c r="C36" s="34" t="s">
        <v>104</v>
      </c>
      <c r="D36" s="170"/>
    </row>
    <row r="37" spans="1:6">
      <c r="A37" s="167" t="s">
        <v>78</v>
      </c>
      <c r="B37" s="33">
        <f>B60</f>
        <v>86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267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69216.762999999992</v>
      </c>
      <c r="C5" s="17">
        <f>IF(ISERROR('Eigen informatie GS &amp; warmtenet'!B58),0,'Eigen informatie GS &amp; warmtenet'!B58)</f>
        <v>0</v>
      </c>
      <c r="D5" s="30">
        <f>SUM(D6:D12)</f>
        <v>92078.57971433668</v>
      </c>
      <c r="E5" s="17">
        <f>SUM(E6:E12)</f>
        <v>1388.975988995654</v>
      </c>
      <c r="F5" s="17">
        <f>SUM(F6:F12)</f>
        <v>16202.74167446205</v>
      </c>
      <c r="G5" s="18"/>
      <c r="H5" s="17"/>
      <c r="I5" s="17"/>
      <c r="J5" s="17">
        <f>SUM(J6:J12)</f>
        <v>0</v>
      </c>
      <c r="K5" s="17"/>
      <c r="L5" s="17"/>
      <c r="M5" s="17"/>
      <c r="N5" s="17">
        <f>SUM(N6:N12)</f>
        <v>4942.878775062818</v>
      </c>
      <c r="O5" s="17">
        <f>B38*B39*B40</f>
        <v>10.943333333333335</v>
      </c>
      <c r="P5" s="17">
        <f>B46*B47*B48/1000-B46*B47*B48/1000/B49</f>
        <v>133.46666666666667</v>
      </c>
      <c r="R5" s="32"/>
    </row>
    <row r="6" spans="1:18">
      <c r="A6" s="32" t="s">
        <v>53</v>
      </c>
      <c r="B6" s="37">
        <f>B26</f>
        <v>8985.7029999999995</v>
      </c>
      <c r="C6" s="33"/>
      <c r="D6" s="37">
        <f>IF(ISERROR(TER_kantoor_gas_kWh/1000),0,TER_kantoor_gas_kWh/1000)*0.902</f>
        <v>9464.2255674699391</v>
      </c>
      <c r="E6" s="33">
        <f>$C$26*'E Balans VL '!I12/100/3.6*1000000</f>
        <v>0.12601541126672858</v>
      </c>
      <c r="F6" s="33">
        <f>$C$26*('E Balans VL '!L12+'E Balans VL '!N12)/100/3.6*1000000</f>
        <v>1248.9979723511356</v>
      </c>
      <c r="G6" s="34"/>
      <c r="H6" s="33"/>
      <c r="I6" s="33"/>
      <c r="J6" s="33">
        <f>$C$26*('E Balans VL '!D12+'E Balans VL '!E12)/100/3.6*1000000</f>
        <v>0</v>
      </c>
      <c r="K6" s="33"/>
      <c r="L6" s="33"/>
      <c r="M6" s="33"/>
      <c r="N6" s="33">
        <f>$C$26*'E Balans VL '!Y12/100/3.6*1000000</f>
        <v>111.21409417407165</v>
      </c>
      <c r="O6" s="33"/>
      <c r="P6" s="33"/>
      <c r="R6" s="32"/>
    </row>
    <row r="7" spans="1:18">
      <c r="A7" s="32" t="s">
        <v>52</v>
      </c>
      <c r="B7" s="37">
        <f t="shared" ref="B7:B12" si="0">B27</f>
        <v>4343.6130000000003</v>
      </c>
      <c r="C7" s="33"/>
      <c r="D7" s="37">
        <f>IF(ISERROR(TER_horeca_gas_kWh/1000),0,TER_horeca_gas_kWh/1000)*0.902</f>
        <v>5020.1823503928135</v>
      </c>
      <c r="E7" s="33">
        <f>$C$27*'E Balans VL '!I9/100/3.6*1000000</f>
        <v>62.001774382129739</v>
      </c>
      <c r="F7" s="33">
        <f>$C$27*('E Balans VL '!L9+'E Balans VL '!N9)/100/3.6*1000000</f>
        <v>675.25716420218237</v>
      </c>
      <c r="G7" s="34"/>
      <c r="H7" s="33"/>
      <c r="I7" s="33"/>
      <c r="J7" s="33">
        <f>$C$27*('E Balans VL '!D9+'E Balans VL '!E9)/100/3.6*1000000</f>
        <v>0</v>
      </c>
      <c r="K7" s="33"/>
      <c r="L7" s="33"/>
      <c r="M7" s="33"/>
      <c r="N7" s="33">
        <f>$C$27*'E Balans VL '!Y9/100/3.6*1000000</f>
        <v>1.1192807269781657</v>
      </c>
      <c r="O7" s="33"/>
      <c r="P7" s="33"/>
      <c r="R7" s="32"/>
    </row>
    <row r="8" spans="1:18">
      <c r="A8" s="6" t="s">
        <v>51</v>
      </c>
      <c r="B8" s="37">
        <f t="shared" si="0"/>
        <v>33714.103999999999</v>
      </c>
      <c r="C8" s="33"/>
      <c r="D8" s="37">
        <f>IF(ISERROR(TER_handel_gas_kWh/1000),0,TER_handel_gas_kWh/1000)*0.902</f>
        <v>31156.183424660721</v>
      </c>
      <c r="E8" s="33">
        <f>$C$28*'E Balans VL '!I13/100/3.6*1000000</f>
        <v>912.48004939000566</v>
      </c>
      <c r="F8" s="33">
        <f>$C$28*('E Balans VL '!L13+'E Balans VL '!N13)/100/3.6*1000000</f>
        <v>5235.1721229499008</v>
      </c>
      <c r="G8" s="34"/>
      <c r="H8" s="33"/>
      <c r="I8" s="33"/>
      <c r="J8" s="33">
        <f>$C$28*('E Balans VL '!D13+'E Balans VL '!E13)/100/3.6*1000000</f>
        <v>0</v>
      </c>
      <c r="K8" s="33"/>
      <c r="L8" s="33"/>
      <c r="M8" s="33"/>
      <c r="N8" s="33">
        <f>$C$28*'E Balans VL '!Y13/100/3.6*1000000</f>
        <v>273.17457705948954</v>
      </c>
      <c r="O8" s="33"/>
      <c r="P8" s="33"/>
      <c r="R8" s="32"/>
    </row>
    <row r="9" spans="1:18">
      <c r="A9" s="32" t="s">
        <v>50</v>
      </c>
      <c r="B9" s="37">
        <f t="shared" si="0"/>
        <v>2557.8780000000002</v>
      </c>
      <c r="C9" s="33"/>
      <c r="D9" s="37">
        <f>IF(ISERROR(TER_gezond_gas_kWh/1000),0,TER_gezond_gas_kWh/1000)*0.902</f>
        <v>7301.0307182478282</v>
      </c>
      <c r="E9" s="33">
        <f>$C$29*'E Balans VL '!I10/100/3.6*1000000</f>
        <v>0.15961025755064923</v>
      </c>
      <c r="F9" s="33">
        <f>$C$29*('E Balans VL '!L10+'E Balans VL '!N10)/100/3.6*1000000</f>
        <v>331.1416615549673</v>
      </c>
      <c r="G9" s="34"/>
      <c r="H9" s="33"/>
      <c r="I9" s="33"/>
      <c r="J9" s="33">
        <f>$C$29*('E Balans VL '!D10+'E Balans VL '!E10)/100/3.6*1000000</f>
        <v>0</v>
      </c>
      <c r="K9" s="33"/>
      <c r="L9" s="33"/>
      <c r="M9" s="33"/>
      <c r="N9" s="33">
        <f>$C$29*'E Balans VL '!Y10/100/3.6*1000000</f>
        <v>20.972100052539538</v>
      </c>
      <c r="O9" s="33"/>
      <c r="P9" s="33"/>
      <c r="R9" s="32"/>
    </row>
    <row r="10" spans="1:18">
      <c r="A10" s="32" t="s">
        <v>49</v>
      </c>
      <c r="B10" s="37">
        <f t="shared" si="0"/>
        <v>9540.6569999999992</v>
      </c>
      <c r="C10" s="33"/>
      <c r="D10" s="37">
        <f>IF(ISERROR(TER_ander_gas_kWh/1000),0,TER_ander_gas_kWh/1000)*0.902</f>
        <v>19581.353549991498</v>
      </c>
      <c r="E10" s="33">
        <f>$C$30*'E Balans VL '!I14/100/3.6*1000000</f>
        <v>288.02798068964859</v>
      </c>
      <c r="F10" s="33">
        <f>$C$30*('E Balans VL '!L14+'E Balans VL '!N14)/100/3.6*1000000</f>
        <v>6040.6466688488135</v>
      </c>
      <c r="G10" s="34"/>
      <c r="H10" s="33"/>
      <c r="I10" s="33"/>
      <c r="J10" s="33">
        <f>$C$30*('E Balans VL '!D14+'E Balans VL '!E14)/100/3.6*1000000</f>
        <v>0</v>
      </c>
      <c r="K10" s="33"/>
      <c r="L10" s="33"/>
      <c r="M10" s="33"/>
      <c r="N10" s="33">
        <f>$C$30*'E Balans VL '!Y14/100/3.6*1000000</f>
        <v>3861.7024216044742</v>
      </c>
      <c r="O10" s="33"/>
      <c r="P10" s="33"/>
      <c r="R10" s="32"/>
    </row>
    <row r="11" spans="1:18">
      <c r="A11" s="32" t="s">
        <v>54</v>
      </c>
      <c r="B11" s="37">
        <f t="shared" si="0"/>
        <v>1764.18</v>
      </c>
      <c r="C11" s="33"/>
      <c r="D11" s="37">
        <f>IF(ISERROR(TER_onderwijs_gas_kWh/1000),0,TER_onderwijs_gas_kWh/1000)*0.902</f>
        <v>3674.0732521479349</v>
      </c>
      <c r="E11" s="33">
        <f>$C$31*'E Balans VL '!I11/100/3.6*1000000</f>
        <v>2.2217633390093119</v>
      </c>
      <c r="F11" s="33">
        <f>$C$31*('E Balans VL '!L11+'E Balans VL '!N11)/100/3.6*1000000</f>
        <v>655.31263751197787</v>
      </c>
      <c r="G11" s="34"/>
      <c r="H11" s="33"/>
      <c r="I11" s="33"/>
      <c r="J11" s="33">
        <f>$C$31*('E Balans VL '!D11+'E Balans VL '!E11)/100/3.6*1000000</f>
        <v>0</v>
      </c>
      <c r="K11" s="33"/>
      <c r="L11" s="33"/>
      <c r="M11" s="33"/>
      <c r="N11" s="33">
        <f>$C$31*'E Balans VL '!Y11/100/3.6*1000000</f>
        <v>2.2340089943493489</v>
      </c>
      <c r="O11" s="33"/>
      <c r="P11" s="33"/>
      <c r="R11" s="32"/>
    </row>
    <row r="12" spans="1:18">
      <c r="A12" s="32" t="s">
        <v>249</v>
      </c>
      <c r="B12" s="37">
        <f t="shared" si="0"/>
        <v>8310.6280000000006</v>
      </c>
      <c r="C12" s="33"/>
      <c r="D12" s="37">
        <f>IF(ISERROR(TER_rest_gas_kWh/1000),0,TER_rest_gas_kWh/1000)*0.902</f>
        <v>15881.530851425941</v>
      </c>
      <c r="E12" s="33">
        <f>$C$32*'E Balans VL '!I8/100/3.6*1000000</f>
        <v>123.95879552604345</v>
      </c>
      <c r="F12" s="33">
        <f>$C$32*('E Balans VL '!L8+'E Balans VL '!N8)/100/3.6*1000000</f>
        <v>2016.2134470430733</v>
      </c>
      <c r="G12" s="34"/>
      <c r="H12" s="33"/>
      <c r="I12" s="33"/>
      <c r="J12" s="33">
        <f>$C$32*('E Balans VL '!D8+'E Balans VL '!E8)/100/3.6*1000000</f>
        <v>0</v>
      </c>
      <c r="K12" s="33"/>
      <c r="L12" s="33"/>
      <c r="M12" s="33"/>
      <c r="N12" s="33">
        <f>$C$32*'E Balans VL '!Y8/100/3.6*1000000</f>
        <v>672.46229245091627</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69216.762999999992</v>
      </c>
      <c r="C16" s="21">
        <f t="shared" ca="1" si="1"/>
        <v>0</v>
      </c>
      <c r="D16" s="21">
        <f t="shared" ca="1" si="1"/>
        <v>92078.57971433668</v>
      </c>
      <c r="E16" s="21">
        <f t="shared" si="1"/>
        <v>1388.975988995654</v>
      </c>
      <c r="F16" s="21">
        <f t="shared" ca="1" si="1"/>
        <v>16202.74167446205</v>
      </c>
      <c r="G16" s="21">
        <f t="shared" si="1"/>
        <v>0</v>
      </c>
      <c r="H16" s="21">
        <f t="shared" si="1"/>
        <v>0</v>
      </c>
      <c r="I16" s="21">
        <f t="shared" si="1"/>
        <v>0</v>
      </c>
      <c r="J16" s="21">
        <f t="shared" si="1"/>
        <v>0</v>
      </c>
      <c r="K16" s="21">
        <f t="shared" si="1"/>
        <v>0</v>
      </c>
      <c r="L16" s="21">
        <f t="shared" ca="1" si="1"/>
        <v>0</v>
      </c>
      <c r="M16" s="21">
        <f t="shared" si="1"/>
        <v>0</v>
      </c>
      <c r="N16" s="21">
        <f t="shared" ca="1" si="1"/>
        <v>4942.878775062818</v>
      </c>
      <c r="O16" s="21">
        <f>O5</f>
        <v>10.943333333333335</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0.20611507989068198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14266.618635519399</v>
      </c>
      <c r="C20" s="23">
        <f t="shared" ref="C20:P20" ca="1" si="2">C16*C18</f>
        <v>0</v>
      </c>
      <c r="D20" s="23">
        <f t="shared" ca="1" si="2"/>
        <v>18599.873102296009</v>
      </c>
      <c r="E20" s="23">
        <f t="shared" si="2"/>
        <v>315.29754950201345</v>
      </c>
      <c r="F20" s="23">
        <f t="shared" ca="1" si="2"/>
        <v>4326.1320270813676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8985.7029999999995</v>
      </c>
      <c r="C26" s="39">
        <f>IF(ISERROR(B26*3.6/1000000/'E Balans VL '!Z12*100),0,B26*3.6/1000000/'E Balans VL '!Z12*100)</f>
        <v>0.24406853073172902</v>
      </c>
      <c r="D26" s="232" t="s">
        <v>651</v>
      </c>
      <c r="F26" s="6"/>
    </row>
    <row r="27" spans="1:18">
      <c r="A27" s="227" t="s">
        <v>52</v>
      </c>
      <c r="B27" s="33">
        <f>IF(ISERROR(TER_horeca_ele_kWh/1000),0,TER_horeca_ele_kWh/1000)</f>
        <v>4343.6130000000003</v>
      </c>
      <c r="C27" s="39">
        <f>IF(ISERROR(B27*3.6/1000000/'E Balans VL '!Z9*100),0,B27*3.6/1000000/'E Balans VL '!Z9*100)</f>
        <v>0.34904313553634575</v>
      </c>
      <c r="D27" s="232" t="s">
        <v>651</v>
      </c>
      <c r="F27" s="6"/>
    </row>
    <row r="28" spans="1:18">
      <c r="A28" s="167" t="s">
        <v>51</v>
      </c>
      <c r="B28" s="33">
        <f>IF(ISERROR(TER_handel_ele_kWh/1000),0,TER_handel_ele_kWh/1000)</f>
        <v>33714.103999999999</v>
      </c>
      <c r="C28" s="39">
        <f>IF(ISERROR(B28*3.6/1000000/'E Balans VL '!Z13*100),0,B28*3.6/1000000/'E Balans VL '!Z13*100)</f>
        <v>0.99575037346500483</v>
      </c>
      <c r="D28" s="232" t="s">
        <v>651</v>
      </c>
      <c r="F28" s="6"/>
    </row>
    <row r="29" spans="1:18">
      <c r="A29" s="227" t="s">
        <v>50</v>
      </c>
      <c r="B29" s="33">
        <f>IF(ISERROR(TER_gezond_ele_kWh/1000),0,TER_gezond_ele_kWh/1000)</f>
        <v>2557.8780000000002</v>
      </c>
      <c r="C29" s="39">
        <f>IF(ISERROR(B29*3.6/1000000/'E Balans VL '!Z10*100),0,B29*3.6/1000000/'E Balans VL '!Z10*100)</f>
        <v>0.29253425673262151</v>
      </c>
      <c r="D29" s="232" t="s">
        <v>651</v>
      </c>
      <c r="F29" s="6"/>
    </row>
    <row r="30" spans="1:18">
      <c r="A30" s="227" t="s">
        <v>49</v>
      </c>
      <c r="B30" s="33">
        <f>IF(ISERROR(TER_ander_ele_kWh/1000),0,TER_ander_ele_kWh/1000)</f>
        <v>9540.6569999999992</v>
      </c>
      <c r="C30" s="39">
        <f>IF(ISERROR(B30*3.6/1000000/'E Balans VL '!Z14*100),0,B30*3.6/1000000/'E Balans VL '!Z14*100)</f>
        <v>0.44585478063827583</v>
      </c>
      <c r="D30" s="232" t="s">
        <v>651</v>
      </c>
      <c r="F30" s="6"/>
    </row>
    <row r="31" spans="1:18">
      <c r="A31" s="227" t="s">
        <v>54</v>
      </c>
      <c r="B31" s="33">
        <f>IF(ISERROR(TER_onderwijs_ele_kWh/1000),0,TER_onderwijs_ele_kWh/1000)</f>
        <v>1764.18</v>
      </c>
      <c r="C31" s="39">
        <f>IF(ISERROR(B31*3.6/1000000/'E Balans VL '!Z11*100),0,B31*3.6/1000000/'E Balans VL '!Z11*100)</f>
        <v>0.46586447631872391</v>
      </c>
      <c r="D31" s="232" t="s">
        <v>651</v>
      </c>
    </row>
    <row r="32" spans="1:18">
      <c r="A32" s="227" t="s">
        <v>249</v>
      </c>
      <c r="B32" s="33">
        <f>IF(ISERROR(TER_rest_ele_kWh/1000),0,TER_rest_ele_kWh/1000)</f>
        <v>8310.6280000000006</v>
      </c>
      <c r="C32" s="39">
        <f>IF(ISERROR(B32*3.6/1000000/'E Balans VL '!Z8*100),0,B32*3.6/1000000/'E Balans VL '!Z8*100)</f>
        <v>7.1001896616515917E-2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7</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7</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77980.411699999997</v>
      </c>
      <c r="C5" s="17">
        <f>IF(ISERROR('Eigen informatie GS &amp; warmtenet'!B59),0,'Eigen informatie GS &amp; warmtenet'!B59)</f>
        <v>0</v>
      </c>
      <c r="D5" s="30">
        <f>SUM(D6:D15)</f>
        <v>47968.582166074877</v>
      </c>
      <c r="E5" s="17">
        <f>SUM(E6:E15)</f>
        <v>6895.893802261271</v>
      </c>
      <c r="F5" s="17">
        <f>SUM(F6:F15)</f>
        <v>59922.94575088039</v>
      </c>
      <c r="G5" s="18"/>
      <c r="H5" s="17"/>
      <c r="I5" s="17"/>
      <c r="J5" s="17">
        <f>SUM(J6:J15)</f>
        <v>612.49708378112791</v>
      </c>
      <c r="K5" s="17"/>
      <c r="L5" s="17"/>
      <c r="M5" s="17"/>
      <c r="N5" s="17">
        <f>SUM(N6:N15)</f>
        <v>13679.224123603717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5107.1660000000002</v>
      </c>
      <c r="C8" s="33"/>
      <c r="D8" s="37">
        <f>IF( ISERROR(IND_metaal_Gas_kWH/1000),0,IND_metaal_Gas_kWH/1000)*0.902</f>
        <v>8900.8009132008519</v>
      </c>
      <c r="E8" s="33">
        <f>C30*'E Balans VL '!I18/100/3.6*1000000</f>
        <v>127.81449028194045</v>
      </c>
      <c r="F8" s="33">
        <f>C30*'E Balans VL '!L18/100/3.6*1000000+C30*'E Balans VL '!N18/100/3.6*1000000</f>
        <v>1600.6112287501783</v>
      </c>
      <c r="G8" s="34"/>
      <c r="H8" s="33"/>
      <c r="I8" s="33"/>
      <c r="J8" s="40">
        <f>C30*'E Balans VL '!D18/100/3.6*1000000+C30*'E Balans VL '!E18/100/3.6*1000000</f>
        <v>0</v>
      </c>
      <c r="K8" s="33"/>
      <c r="L8" s="33"/>
      <c r="M8" s="33"/>
      <c r="N8" s="33">
        <f>C30*'E Balans VL '!Y18/100/3.6*1000000</f>
        <v>128.30526417154968</v>
      </c>
      <c r="O8" s="33"/>
      <c r="P8" s="33"/>
      <c r="R8" s="32"/>
    </row>
    <row r="9" spans="1:18">
      <c r="A9" s="6" t="s">
        <v>32</v>
      </c>
      <c r="B9" s="37">
        <f t="shared" si="0"/>
        <v>17329.883000000002</v>
      </c>
      <c r="C9" s="33"/>
      <c r="D9" s="37">
        <f>IF( ISERROR(IND_andere_gas_kWh/1000),0,IND_andere_gas_kWh/1000)*0.902</f>
        <v>4942.0379681087634</v>
      </c>
      <c r="E9" s="33">
        <f>C31*'E Balans VL '!I19/100/3.6*1000000</f>
        <v>4765.0070388853146</v>
      </c>
      <c r="F9" s="33">
        <f>C31*'E Balans VL '!L19/100/3.6*1000000+C31*'E Balans VL '!N19/100/3.6*1000000</f>
        <v>13658.96342015709</v>
      </c>
      <c r="G9" s="34"/>
      <c r="H9" s="33"/>
      <c r="I9" s="33"/>
      <c r="J9" s="40">
        <f>C31*'E Balans VL '!D19/100/3.6*1000000+C31*'E Balans VL '!E19/100/3.6*1000000</f>
        <v>0</v>
      </c>
      <c r="K9" s="33"/>
      <c r="L9" s="33"/>
      <c r="M9" s="33"/>
      <c r="N9" s="33">
        <f>C31*'E Balans VL '!Y19/100/3.6*1000000</f>
        <v>1396.1062950006205</v>
      </c>
      <c r="O9" s="33"/>
      <c r="P9" s="33"/>
      <c r="R9" s="32"/>
    </row>
    <row r="10" spans="1:18">
      <c r="A10" s="6" t="s">
        <v>40</v>
      </c>
      <c r="B10" s="37">
        <f t="shared" si="0"/>
        <v>19356.956999999999</v>
      </c>
      <c r="C10" s="33"/>
      <c r="D10" s="37">
        <f>IF( ISERROR(IND_voed_gas_kWh/1000),0,IND_voed_gas_kWh/1000)*0.902</f>
        <v>20285.95324541278</v>
      </c>
      <c r="E10" s="33">
        <f>C32*'E Balans VL '!I20/100/3.6*1000000</f>
        <v>197.33351280654071</v>
      </c>
      <c r="F10" s="33">
        <f>C32*'E Balans VL '!L20/100/3.6*1000000+C32*'E Balans VL '!N20/100/3.6*1000000</f>
        <v>36565.17070692058</v>
      </c>
      <c r="G10" s="34"/>
      <c r="H10" s="33"/>
      <c r="I10" s="33"/>
      <c r="J10" s="40">
        <f>C32*'E Balans VL '!D20/100/3.6*1000000+C32*'E Balans VL '!E20/100/3.6*1000000</f>
        <v>463.2753172600523</v>
      </c>
      <c r="K10" s="33"/>
      <c r="L10" s="33"/>
      <c r="M10" s="33"/>
      <c r="N10" s="33">
        <f>C32*'E Balans VL '!Y20/100/3.6*1000000</f>
        <v>10203.345987039003</v>
      </c>
      <c r="O10" s="33"/>
      <c r="P10" s="33"/>
      <c r="R10" s="32"/>
    </row>
    <row r="11" spans="1:18">
      <c r="A11" s="6" t="s">
        <v>39</v>
      </c>
      <c r="B11" s="37">
        <f t="shared" si="0"/>
        <v>0</v>
      </c>
      <c r="C11" s="33"/>
      <c r="D11" s="37">
        <f>IF( ISERROR(IND_textiel_gas_kWh/1000),0,IND_textiel_gas_kWh/1000)*0.902</f>
        <v>4107.5349690790063</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324.58780000000002</v>
      </c>
      <c r="C12" s="33"/>
      <c r="D12" s="37">
        <f>IF( ISERROR(IND_min_gas_kWh/1000),0,IND_min_gas_kWh/1000)*0.902</f>
        <v>0</v>
      </c>
      <c r="E12" s="33">
        <f>C34*'E Balans VL '!I22/100/3.6*1000000</f>
        <v>0.9830296179566963</v>
      </c>
      <c r="F12" s="33">
        <f>C34*'E Balans VL '!L22/100/3.6*1000000+C34*'E Balans VL '!N22/100/3.6*1000000</f>
        <v>10.143647809850904</v>
      </c>
      <c r="G12" s="34"/>
      <c r="H12" s="33"/>
      <c r="I12" s="33"/>
      <c r="J12" s="40">
        <f>C34*'E Balans VL '!D22/100/3.6*1000000+C34*'E Balans VL '!E22/100/3.6*1000000</f>
        <v>0.48129165262131324</v>
      </c>
      <c r="K12" s="33"/>
      <c r="L12" s="33"/>
      <c r="M12" s="33"/>
      <c r="N12" s="33">
        <f>C34*'E Balans VL '!Y22/100/3.6*1000000</f>
        <v>0</v>
      </c>
      <c r="O12" s="33"/>
      <c r="P12" s="33"/>
      <c r="R12" s="32"/>
    </row>
    <row r="13" spans="1:18">
      <c r="A13" s="6" t="s">
        <v>38</v>
      </c>
      <c r="B13" s="37">
        <f t="shared" si="0"/>
        <v>250.2098</v>
      </c>
      <c r="C13" s="33"/>
      <c r="D13" s="37">
        <f>IF( ISERROR(IND_papier_gas_kWh/1000),0,IND_papier_gas_kWh/1000)*0.902</f>
        <v>149.30400188921504</v>
      </c>
      <c r="E13" s="33">
        <f>C35*'E Balans VL '!I23/100/3.6*1000000</f>
        <v>0.51820138455482601</v>
      </c>
      <c r="F13" s="33">
        <f>C35*'E Balans VL '!L23/100/3.6*1000000+C35*'E Balans VL '!N23/100/3.6*1000000</f>
        <v>4.9621967411771379</v>
      </c>
      <c r="G13" s="34"/>
      <c r="H13" s="33"/>
      <c r="I13" s="33"/>
      <c r="J13" s="40">
        <f>C35*'E Balans VL '!D23/100/3.6*1000000+C35*'E Balans VL '!E23/100/3.6*1000000</f>
        <v>0</v>
      </c>
      <c r="K13" s="33"/>
      <c r="L13" s="33"/>
      <c r="M13" s="33"/>
      <c r="N13" s="33">
        <f>C35*'E Balans VL '!Y23/100/3.6*1000000</f>
        <v>17.353314327161559</v>
      </c>
      <c r="O13" s="33"/>
      <c r="P13" s="33"/>
      <c r="R13" s="32"/>
    </row>
    <row r="14" spans="1:18">
      <c r="A14" s="6" t="s">
        <v>33</v>
      </c>
      <c r="B14" s="37">
        <f t="shared" si="0"/>
        <v>157.7911</v>
      </c>
      <c r="C14" s="33"/>
      <c r="D14" s="37">
        <f>IF( ISERROR(IND_chemie_gas_kWh/1000),0,IND_chemie_gas_kWh/1000)*0.902</f>
        <v>0</v>
      </c>
      <c r="E14" s="33">
        <f>C36*'E Balans VL '!I24/100/3.6*1000000</f>
        <v>0.59158476579621366</v>
      </c>
      <c r="F14" s="33">
        <f>C36*'E Balans VL '!L24/100/3.6*1000000+C36*'E Balans VL '!N24/100/3.6*1000000</f>
        <v>1.8357341651688974</v>
      </c>
      <c r="G14" s="34"/>
      <c r="H14" s="33"/>
      <c r="I14" s="33"/>
      <c r="J14" s="40">
        <f>C36*'E Balans VL '!D24/100/3.6*1000000+C36*'E Balans VL '!E24/100/3.6*1000000</f>
        <v>0</v>
      </c>
      <c r="K14" s="33"/>
      <c r="L14" s="33"/>
      <c r="M14" s="33"/>
      <c r="N14" s="33">
        <f>C36*'E Balans VL '!Y24/100/3.6*1000000</f>
        <v>2.6957852164731442</v>
      </c>
      <c r="O14" s="33"/>
      <c r="P14" s="33"/>
      <c r="R14" s="32"/>
    </row>
    <row r="15" spans="1:18">
      <c r="A15" s="6" t="s">
        <v>259</v>
      </c>
      <c r="B15" s="37">
        <f t="shared" si="0"/>
        <v>35453.817000000003</v>
      </c>
      <c r="C15" s="33"/>
      <c r="D15" s="37">
        <f>IF( ISERROR(IND_rest_gas_kWh/1000),0,IND_rest_gas_kWh/1000)*0.902</f>
        <v>9582.9510683842636</v>
      </c>
      <c r="E15" s="33">
        <f>C37*'E Balans VL '!I15/100/3.6*1000000</f>
        <v>1803.6459445191663</v>
      </c>
      <c r="F15" s="33">
        <f>C37*'E Balans VL '!L15/100/3.6*1000000+C37*'E Balans VL '!N15/100/3.6*1000000</f>
        <v>8081.2588163363371</v>
      </c>
      <c r="G15" s="34"/>
      <c r="H15" s="33"/>
      <c r="I15" s="33"/>
      <c r="J15" s="40">
        <f>C37*'E Balans VL '!D15/100/3.6*1000000+C37*'E Balans VL '!E15/100/3.6*1000000</f>
        <v>148.74047486845424</v>
      </c>
      <c r="K15" s="33"/>
      <c r="L15" s="33"/>
      <c r="M15" s="33"/>
      <c r="N15" s="33">
        <f>C37*'E Balans VL '!Y15/100/3.6*1000000</f>
        <v>1931.4174778489087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77980.411699999997</v>
      </c>
      <c r="C18" s="21">
        <f>C5+C16</f>
        <v>0</v>
      </c>
      <c r="D18" s="21">
        <f>MAX((D5+D16),0)</f>
        <v>47968.582166074877</v>
      </c>
      <c r="E18" s="21">
        <f>MAX((E5+E16),0)</f>
        <v>6895.893802261271</v>
      </c>
      <c r="F18" s="21">
        <f>MAX((F5+F16),0)</f>
        <v>59922.94575088039</v>
      </c>
      <c r="G18" s="21"/>
      <c r="H18" s="21"/>
      <c r="I18" s="21"/>
      <c r="J18" s="21">
        <f>MAX((J5+J16),0)</f>
        <v>612.49708378112791</v>
      </c>
      <c r="K18" s="21"/>
      <c r="L18" s="21">
        <f>MAX((L5+L16),0)</f>
        <v>0</v>
      </c>
      <c r="M18" s="21"/>
      <c r="N18" s="21">
        <f>MAX((N5+N16),0)</f>
        <v>13679.224123603717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0.20611507989068198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16072.938787453772</v>
      </c>
      <c r="C22" s="23">
        <f ca="1">C18*C20</f>
        <v>0</v>
      </c>
      <c r="D22" s="23">
        <f>D18*D20</f>
        <v>9689.6535975471252</v>
      </c>
      <c r="E22" s="23">
        <f>E18*E20</f>
        <v>1565.3678931133086</v>
      </c>
      <c r="F22" s="23">
        <f>F18*F20</f>
        <v>15999.426515485065</v>
      </c>
      <c r="G22" s="23"/>
      <c r="H22" s="23"/>
      <c r="I22" s="23"/>
      <c r="J22" s="23">
        <f>J18*J20</f>
        <v>216.82396765851928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5107.1660000000002</v>
      </c>
      <c r="C30" s="39">
        <f>IF(ISERROR(B30*3.6/1000000/'E Balans VL '!Z18*100),0,B30*3.6/1000000/'E Balans VL '!Z18*100)</f>
        <v>0.71483304181281881</v>
      </c>
      <c r="D30" s="232" t="s">
        <v>651</v>
      </c>
    </row>
    <row r="31" spans="1:18">
      <c r="A31" s="6" t="s">
        <v>32</v>
      </c>
      <c r="B31" s="37">
        <f>IF( ISERROR(IND_ander_ele_kWh/1000),0,IND_ander_ele_kWh/1000)</f>
        <v>17329.883000000002</v>
      </c>
      <c r="C31" s="39">
        <f>IF(ISERROR(B31*3.6/1000000/'E Balans VL '!Z19*100),0,B31*3.6/1000000/'E Balans VL '!Z19*100)</f>
        <v>0.75852616760356295</v>
      </c>
      <c r="D31" s="232" t="s">
        <v>651</v>
      </c>
    </row>
    <row r="32" spans="1:18">
      <c r="A32" s="167" t="s">
        <v>40</v>
      </c>
      <c r="B32" s="37">
        <f>IF( ISERROR(IND_voed_ele_kWh/1000),0,IND_voed_ele_kWh/1000)</f>
        <v>19356.956999999999</v>
      </c>
      <c r="C32" s="39">
        <f>IF(ISERROR(B32*3.6/1000000/'E Balans VL '!Z20*100),0,B32*3.6/1000000/'E Balans VL '!Z20*100)</f>
        <v>4.7921397403650809</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324.58780000000002</v>
      </c>
      <c r="C34" s="39">
        <f>IF(ISERROR(B34*3.6/1000000/'E Balans VL '!Z22*100),0,B34*3.6/1000000/'E Balans VL '!Z22*100)</f>
        <v>9.2104775169469383E-3</v>
      </c>
      <c r="D34" s="232" t="s">
        <v>651</v>
      </c>
    </row>
    <row r="35" spans="1:5">
      <c r="A35" s="167" t="s">
        <v>38</v>
      </c>
      <c r="B35" s="37">
        <f>IF( ISERROR(IND_papier_ele_kWh/1000),0,IND_papier_ele_kWh/1000)</f>
        <v>250.2098</v>
      </c>
      <c r="C35" s="39">
        <f>IF(ISERROR(B35*3.6/1000000/'E Balans VL '!Z22*100),0,B35*3.6/1000000/'E Balans VL '!Z22*100)</f>
        <v>7.0999333228784003E-3</v>
      </c>
      <c r="D35" s="232" t="s">
        <v>651</v>
      </c>
    </row>
    <row r="36" spans="1:5">
      <c r="A36" s="167" t="s">
        <v>33</v>
      </c>
      <c r="B36" s="37">
        <f>IF( ISERROR(IND_chemie_ele_kWh/1000),0,IND_chemie_ele_kWh/1000)</f>
        <v>157.7911</v>
      </c>
      <c r="C36" s="39">
        <f>IF(ISERROR(B36*3.6/1000000/'E Balans VL '!Z24*100),0,B36*3.6/1000000/'E Balans VL '!Z24*100)</f>
        <v>4.0234322076185876E-3</v>
      </c>
      <c r="D36" s="232" t="s">
        <v>651</v>
      </c>
    </row>
    <row r="37" spans="1:5">
      <c r="A37" s="167" t="s">
        <v>259</v>
      </c>
      <c r="B37" s="37">
        <f>IF( ISERROR(IND_rest_ele_kWh/1000),0,IND_rest_ele_kWh/1000)</f>
        <v>35453.817000000003</v>
      </c>
      <c r="C37" s="39">
        <f>IF(ISERROR(B37*3.6/1000000/'E Balans VL '!Z15*100),0,B37*3.6/1000000/'E Balans VL '!Z15*100)</f>
        <v>0.26288398310467087</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3598.1186000000002</v>
      </c>
      <c r="C5" s="17">
        <f>'Eigen informatie GS &amp; warmtenet'!B60</f>
        <v>0</v>
      </c>
      <c r="D5" s="30">
        <f>IF(ISERROR(SUM(LB_lb_gas_kWh,LB_rest_gas_kWh)/1000),0,SUM(LB_lb_gas_kWh,LB_rest_gas_kWh)/1000)*0.902</f>
        <v>5035.6452446529738</v>
      </c>
      <c r="E5" s="17">
        <f>B17*'E Balans VL '!I25/3.6*1000000/100</f>
        <v>77.156397949880187</v>
      </c>
      <c r="F5" s="17">
        <f>B17*('E Balans VL '!L25/3.6*1000000+'E Balans VL '!N25/3.6*1000000)/100</f>
        <v>11671.143779134314</v>
      </c>
      <c r="G5" s="18"/>
      <c r="H5" s="17"/>
      <c r="I5" s="17"/>
      <c r="J5" s="17">
        <f>('E Balans VL '!D25+'E Balans VL '!E25)/3.6*1000000*landbouw!B17/100</f>
        <v>346.68062864516668</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3598.1186000000002</v>
      </c>
      <c r="C8" s="21">
        <f>C5+C6</f>
        <v>62.357142857142847</v>
      </c>
      <c r="D8" s="21">
        <f>MAX((D5+D6),0)</f>
        <v>5035.6452446529738</v>
      </c>
      <c r="E8" s="21">
        <f>MAX((E5+E6),0)</f>
        <v>77.156397949880187</v>
      </c>
      <c r="F8" s="21">
        <f>MAX((F5+F6),0)</f>
        <v>11671.143779134314</v>
      </c>
      <c r="G8" s="21"/>
      <c r="H8" s="21"/>
      <c r="I8" s="21"/>
      <c r="J8" s="21">
        <f>MAX((J5+J6),0)</f>
        <v>346.68062864516668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0.20611507989068198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741.62650269514882</v>
      </c>
      <c r="C12" s="23">
        <f ca="1">C8*C10</f>
        <v>0</v>
      </c>
      <c r="D12" s="23">
        <f>D8*D10</f>
        <v>1017.2003394199007</v>
      </c>
      <c r="E12" s="23">
        <f>E8*E10</f>
        <v>17.514502334622804</v>
      </c>
      <c r="F12" s="23">
        <f>F8*F10</f>
        <v>3116.1953890288619</v>
      </c>
      <c r="G12" s="23"/>
      <c r="H12" s="23"/>
      <c r="I12" s="23"/>
      <c r="J12" s="23">
        <f>J8*J10</f>
        <v>122.72494254038899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0.51157617161845381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748.73095772766419</v>
      </c>
      <c r="C26" s="242">
        <f>B26*'GWP N2O_CH4'!B5</f>
        <v>15723.350112280948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194.78665280428788</v>
      </c>
      <c r="C27" s="242">
        <f>B27*'GWP N2O_CH4'!B5</f>
        <v>4090.5197088900454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11.545602870590844</v>
      </c>
      <c r="C28" s="242">
        <f>B28*'GWP N2O_CH4'!B4</f>
        <v>3579.136889883162</v>
      </c>
      <c r="D28" s="50"/>
    </row>
    <row r="29" spans="1:4">
      <c r="A29" s="41" t="s">
        <v>266</v>
      </c>
      <c r="B29" s="242">
        <f>B34*'ha_N2O bodem landbouw'!B4</f>
        <v>23.493624586794702</v>
      </c>
      <c r="C29" s="242">
        <f>B29*'GWP N2O_CH4'!B4</f>
        <v>7283.0236219063581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5.2692061003420752E-3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2.1005120616028776E-4</v>
      </c>
      <c r="C5" s="428" t="s">
        <v>204</v>
      </c>
      <c r="D5" s="413">
        <f>SUM(D6:D11)</f>
        <v>3.0302413741805175E-4</v>
      </c>
      <c r="E5" s="413">
        <f>SUM(E6:E11)</f>
        <v>3.2903328888712847E-3</v>
      </c>
      <c r="F5" s="426" t="s">
        <v>204</v>
      </c>
      <c r="G5" s="413">
        <f>SUM(G6:G11)</f>
        <v>1.3335756766344757</v>
      </c>
      <c r="H5" s="413">
        <f>SUM(H6:H11)</f>
        <v>0.19042565866646372</v>
      </c>
      <c r="I5" s="428" t="s">
        <v>204</v>
      </c>
      <c r="J5" s="428" t="s">
        <v>204</v>
      </c>
      <c r="K5" s="428" t="s">
        <v>204</v>
      </c>
      <c r="L5" s="428" t="s">
        <v>204</v>
      </c>
      <c r="M5" s="413">
        <f>SUM(M6:M11)</f>
        <v>8.3125446009903764E-2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4.3606425730185008E-5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6.5951525291717505E-5</v>
      </c>
      <c r="E6" s="819">
        <f>vkm_GW_PW*SUMIFS(TableVerdeelsleutelVkm[LPG],TableVerdeelsleutelVkm[Voertuigtype],"Lichte voertuigen")*SUMIFS(TableECFTransport[EnergieConsumptieFactor (PJ per km)],TableECFTransport[Index],CONCATENATE($A6,"_LPG_LPG"))</f>
        <v>6.4426656286379897E-4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0.14958989536825981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4.0745454422308411E-2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9.9156493843810221E-3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2.0782794463309115E-6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7.9764807153603401E-2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1.7873313212072279E-6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4.6245905238592464E-3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3.3604149441745761E-5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7.6537824489710232E-5</v>
      </c>
      <c r="E8" s="416">
        <f>vkm_NGW_PW*SUMIFS(TableVerdeelsleutelVkm[LPG],TableVerdeelsleutelVkm[Voertuigtype],"Lichte voertuigen")*SUMIFS(TableECFTransport[EnergieConsumptieFactor (PJ per km)],TableECFTransport[Index],CONCATENATE($A8,"_LPG_LPG"))</f>
        <v>7.1102933127082605E-4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0.15388140793888833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4.5570059180899139E-2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1.0311623408607902E-2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9.7603264416206546E-7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4.8129579487608848E-2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1.0131690460004166E-6</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2.7904466429637407E-3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1.1628216699465432E-4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1.6053478763662402E-4</v>
      </c>
      <c r="E10" s="416">
        <f>vkm_SW_PW*SUMIFS(TableVerdeelsleutelVkm[LPG],TableVerdeelsleutelVkm[Voertuigtype],"Lichte voertuigen")*SUMIFS(TableECFTransport[EnergieConsumptieFactor (PJ per km)],TableECFTransport[Index],CONCATENATE($A10,"_LPG_LPG"))</f>
        <v>1.9350369947366594E-3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0.40816075089677206</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0.10409539095853294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2.6839205919394166E-2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1.3504151903209671E-5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0.49404923578934312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1.1953604356027138E-5</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2.8643930130697694E-2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58.347557266746598</v>
      </c>
      <c r="C14" s="21"/>
      <c r="D14" s="21">
        <f t="shared" ref="D14:M14" si="0">((D5)*10^9/3600)+D12</f>
        <v>84.173371505014387</v>
      </c>
      <c r="E14" s="21">
        <f t="shared" si="0"/>
        <v>913.98135801980129</v>
      </c>
      <c r="F14" s="21"/>
      <c r="G14" s="21">
        <f t="shared" si="0"/>
        <v>370437.68795402104</v>
      </c>
      <c r="H14" s="21">
        <f t="shared" si="0"/>
        <v>52896.016296239919</v>
      </c>
      <c r="I14" s="21"/>
      <c r="J14" s="21"/>
      <c r="K14" s="21"/>
      <c r="L14" s="21"/>
      <c r="M14" s="21">
        <f t="shared" si="0"/>
        <v>23090.401669417712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0.20611507989068198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12.026311427461616</v>
      </c>
      <c r="C18" s="23"/>
      <c r="D18" s="23">
        <f t="shared" ref="D18:M18" si="1">D14*D16</f>
        <v>17.003021044012907</v>
      </c>
      <c r="E18" s="23">
        <f t="shared" si="1"/>
        <v>207.4737682704949</v>
      </c>
      <c r="F18" s="23"/>
      <c r="G18" s="23">
        <f t="shared" si="1"/>
        <v>98906.862683723622</v>
      </c>
      <c r="H18" s="23">
        <f t="shared" si="1"/>
        <v>13171.10805776374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3.6473430975942645E-5</v>
      </c>
      <c r="C50" s="311">
        <f t="shared" ref="C50:P50" si="2">SUM(C51:C52)</f>
        <v>0</v>
      </c>
      <c r="D50" s="311">
        <f t="shared" si="2"/>
        <v>0</v>
      </c>
      <c r="E50" s="311">
        <f t="shared" si="2"/>
        <v>0</v>
      </c>
      <c r="F50" s="311">
        <f t="shared" si="2"/>
        <v>0</v>
      </c>
      <c r="G50" s="311">
        <f t="shared" si="2"/>
        <v>6.911234043183191E-3</v>
      </c>
      <c r="H50" s="311">
        <f t="shared" si="2"/>
        <v>0</v>
      </c>
      <c r="I50" s="311">
        <f t="shared" si="2"/>
        <v>0</v>
      </c>
      <c r="J50" s="311">
        <f t="shared" si="2"/>
        <v>0</v>
      </c>
      <c r="K50" s="311">
        <f t="shared" si="2"/>
        <v>0</v>
      </c>
      <c r="L50" s="311">
        <f t="shared" si="2"/>
        <v>0</v>
      </c>
      <c r="M50" s="311">
        <f t="shared" si="2"/>
        <v>3.9786617044626141E-4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3.6473430975942645E-5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6.911234043183191E-3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3.9786617044626141E-4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10.131508604428513</v>
      </c>
      <c r="C54" s="21">
        <f t="shared" ref="C54:P54" si="3">(C50)*10^9/3600</f>
        <v>0</v>
      </c>
      <c r="D54" s="21">
        <f t="shared" si="3"/>
        <v>0</v>
      </c>
      <c r="E54" s="21">
        <f t="shared" si="3"/>
        <v>0</v>
      </c>
      <c r="F54" s="21">
        <f t="shared" si="3"/>
        <v>0</v>
      </c>
      <c r="G54" s="21">
        <f t="shared" si="3"/>
        <v>1919.7872342175531</v>
      </c>
      <c r="H54" s="21">
        <f t="shared" si="3"/>
        <v>0</v>
      </c>
      <c r="I54" s="21">
        <f t="shared" si="3"/>
        <v>0</v>
      </c>
      <c r="J54" s="21">
        <f t="shared" si="3"/>
        <v>0</v>
      </c>
      <c r="K54" s="21">
        <f t="shared" si="3"/>
        <v>0</v>
      </c>
      <c r="L54" s="21">
        <f t="shared" si="3"/>
        <v>0</v>
      </c>
      <c r="M54" s="21">
        <f t="shared" si="3"/>
        <v>110.51838067951707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0.20611507989068198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2.0882567054149148</v>
      </c>
      <c r="C58" s="23">
        <f t="shared" ref="C58:P58" ca="1" si="4">C54*C56</f>
        <v>0</v>
      </c>
      <c r="D58" s="23">
        <f t="shared" si="4"/>
        <v>0</v>
      </c>
      <c r="E58" s="23">
        <f t="shared" si="4"/>
        <v>0</v>
      </c>
      <c r="F58" s="23">
        <f t="shared" si="4"/>
        <v>0</v>
      </c>
      <c r="G58" s="23">
        <f t="shared" si="4"/>
        <v>512.5831915360867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15401.777566543875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15445.427566543874</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46014</v>
      </c>
      <c r="C28" s="725">
        <v>9160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71796.01999999999</v>
      </c>
      <c r="D10" s="943">
        <f ca="1">tertiair!C16</f>
        <v>0</v>
      </c>
      <c r="E10" s="943">
        <f ca="1">tertiair!D16</f>
        <v>92078.57971433668</v>
      </c>
      <c r="F10" s="943">
        <f>tertiair!E16</f>
        <v>1388.975988995654</v>
      </c>
      <c r="G10" s="943">
        <f ca="1">tertiair!F16</f>
        <v>16202.74167446205</v>
      </c>
      <c r="H10" s="943">
        <f>tertiair!G16</f>
        <v>0</v>
      </c>
      <c r="I10" s="943">
        <f>tertiair!H16</f>
        <v>0</v>
      </c>
      <c r="J10" s="943">
        <f>tertiair!I16</f>
        <v>0</v>
      </c>
      <c r="K10" s="943">
        <f>tertiair!J16</f>
        <v>0</v>
      </c>
      <c r="L10" s="943">
        <f>tertiair!K16</f>
        <v>0</v>
      </c>
      <c r="M10" s="943">
        <f ca="1">tertiair!L16</f>
        <v>0</v>
      </c>
      <c r="N10" s="943">
        <f>tertiair!M16</f>
        <v>0</v>
      </c>
      <c r="O10" s="943">
        <f ca="1">tertiair!N16</f>
        <v>4942.878775062818</v>
      </c>
      <c r="P10" s="943">
        <f>tertiair!O16</f>
        <v>10.943333333333335</v>
      </c>
      <c r="Q10" s="944">
        <f>tertiair!P16</f>
        <v>133.46666666666667</v>
      </c>
      <c r="R10" s="629">
        <f ca="1">SUM(C10:Q10)</f>
        <v>186553.60615285722</v>
      </c>
      <c r="S10" s="67"/>
    </row>
    <row r="11" spans="1:19" s="438" customFormat="1">
      <c r="A11" s="737" t="s">
        <v>214</v>
      </c>
      <c r="B11" s="742"/>
      <c r="C11" s="943">
        <f>huishoudens!B8</f>
        <v>73688.068079632314</v>
      </c>
      <c r="D11" s="943">
        <f>huishoudens!C8</f>
        <v>0</v>
      </c>
      <c r="E11" s="943">
        <f>huishoudens!D8</f>
        <v>134654.83299290278</v>
      </c>
      <c r="F11" s="943">
        <f>huishoudens!E8</f>
        <v>2908.5140794104504</v>
      </c>
      <c r="G11" s="943">
        <f>huishoudens!F8</f>
        <v>91754.545207802032</v>
      </c>
      <c r="H11" s="943">
        <f>huishoudens!G8</f>
        <v>0</v>
      </c>
      <c r="I11" s="943">
        <f>huishoudens!H8</f>
        <v>0</v>
      </c>
      <c r="J11" s="943">
        <f>huishoudens!I8</f>
        <v>0</v>
      </c>
      <c r="K11" s="943">
        <f>huishoudens!J8</f>
        <v>2139.7125280883888</v>
      </c>
      <c r="L11" s="943">
        <f>huishoudens!K8</f>
        <v>0</v>
      </c>
      <c r="M11" s="943">
        <f>huishoudens!L8</f>
        <v>0</v>
      </c>
      <c r="N11" s="943">
        <f>huishoudens!M8</f>
        <v>0</v>
      </c>
      <c r="O11" s="943">
        <f>huishoudens!N8</f>
        <v>18449.985949207155</v>
      </c>
      <c r="P11" s="943">
        <f>huishoudens!O8</f>
        <v>417.41</v>
      </c>
      <c r="Q11" s="944">
        <f>huishoudens!P8</f>
        <v>1639.7333333333333</v>
      </c>
      <c r="R11" s="629">
        <f>SUM(C11:Q11)</f>
        <v>325652.80217037635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77980.411699999997</v>
      </c>
      <c r="D13" s="943">
        <f>industrie!C18</f>
        <v>0</v>
      </c>
      <c r="E13" s="943">
        <f>industrie!D18</f>
        <v>47968.582166074877</v>
      </c>
      <c r="F13" s="943">
        <f>industrie!E18</f>
        <v>6895.893802261271</v>
      </c>
      <c r="G13" s="943">
        <f>industrie!F18</f>
        <v>59922.94575088039</v>
      </c>
      <c r="H13" s="943">
        <f>industrie!G18</f>
        <v>0</v>
      </c>
      <c r="I13" s="943">
        <f>industrie!H18</f>
        <v>0</v>
      </c>
      <c r="J13" s="943">
        <f>industrie!I18</f>
        <v>0</v>
      </c>
      <c r="K13" s="943">
        <f>industrie!J18</f>
        <v>612.49708378112791</v>
      </c>
      <c r="L13" s="943">
        <f>industrie!K18</f>
        <v>0</v>
      </c>
      <c r="M13" s="943">
        <f>industrie!L18</f>
        <v>0</v>
      </c>
      <c r="N13" s="943">
        <f>industrie!M18</f>
        <v>0</v>
      </c>
      <c r="O13" s="943">
        <f>industrie!N18</f>
        <v>13679.224123603717</v>
      </c>
      <c r="P13" s="943">
        <f>industrie!O18</f>
        <v>0</v>
      </c>
      <c r="Q13" s="944">
        <f>industrie!P18</f>
        <v>0</v>
      </c>
      <c r="R13" s="629">
        <f>SUM(C13:Q13)</f>
        <v>207059.55462660143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223464.49977963232</v>
      </c>
      <c r="D16" s="661">
        <f t="shared" ref="D16:R16" ca="1" si="0">SUM(D9:D15)</f>
        <v>0</v>
      </c>
      <c r="E16" s="661">
        <f t="shared" ca="1" si="0"/>
        <v>274701.99487331434</v>
      </c>
      <c r="F16" s="661">
        <f t="shared" si="0"/>
        <v>11193.383870667376</v>
      </c>
      <c r="G16" s="661">
        <f t="shared" ca="1" si="0"/>
        <v>167880.23263314448</v>
      </c>
      <c r="H16" s="661">
        <f t="shared" si="0"/>
        <v>0</v>
      </c>
      <c r="I16" s="661">
        <f t="shared" si="0"/>
        <v>0</v>
      </c>
      <c r="J16" s="661">
        <f t="shared" si="0"/>
        <v>0</v>
      </c>
      <c r="K16" s="661">
        <f t="shared" si="0"/>
        <v>2752.2096118695167</v>
      </c>
      <c r="L16" s="661">
        <f t="shared" si="0"/>
        <v>0</v>
      </c>
      <c r="M16" s="661">
        <f t="shared" ca="1" si="0"/>
        <v>0</v>
      </c>
      <c r="N16" s="661">
        <f t="shared" si="0"/>
        <v>0</v>
      </c>
      <c r="O16" s="661">
        <f t="shared" ca="1" si="0"/>
        <v>37072.088847873689</v>
      </c>
      <c r="P16" s="661">
        <f t="shared" si="0"/>
        <v>428.35333333333335</v>
      </c>
      <c r="Q16" s="661">
        <f t="shared" si="0"/>
        <v>1773.2</v>
      </c>
      <c r="R16" s="661">
        <f t="shared" ca="1" si="0"/>
        <v>719265.962949835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10.131508604428513</v>
      </c>
      <c r="D19" s="943">
        <f>transport!C54</f>
        <v>0</v>
      </c>
      <c r="E19" s="943">
        <f>transport!D54</f>
        <v>0</v>
      </c>
      <c r="F19" s="943">
        <f>transport!E54</f>
        <v>0</v>
      </c>
      <c r="G19" s="943">
        <f>transport!F54</f>
        <v>0</v>
      </c>
      <c r="H19" s="943">
        <f>transport!G54</f>
        <v>1919.7872342175531</v>
      </c>
      <c r="I19" s="943">
        <f>transport!H54</f>
        <v>0</v>
      </c>
      <c r="J19" s="943">
        <f>transport!I54</f>
        <v>0</v>
      </c>
      <c r="K19" s="943">
        <f>transport!J54</f>
        <v>0</v>
      </c>
      <c r="L19" s="943">
        <f>transport!K54</f>
        <v>0</v>
      </c>
      <c r="M19" s="943">
        <f>transport!L54</f>
        <v>0</v>
      </c>
      <c r="N19" s="943">
        <f>transport!M54</f>
        <v>110.51838067951707</v>
      </c>
      <c r="O19" s="943">
        <f>transport!N54</f>
        <v>0</v>
      </c>
      <c r="P19" s="943">
        <f>transport!O54</f>
        <v>0</v>
      </c>
      <c r="Q19" s="944">
        <f>transport!P54</f>
        <v>0</v>
      </c>
      <c r="R19" s="629">
        <f>SUM(C19:Q19)</f>
        <v>2040.4371235014987</v>
      </c>
      <c r="S19" s="67"/>
    </row>
    <row r="20" spans="1:19" s="438" customFormat="1">
      <c r="A20" s="737" t="s">
        <v>296</v>
      </c>
      <c r="B20" s="742"/>
      <c r="C20" s="943">
        <f>transport!B14</f>
        <v>58.347557266746598</v>
      </c>
      <c r="D20" s="943">
        <f>transport!C14</f>
        <v>0</v>
      </c>
      <c r="E20" s="943">
        <f>transport!D14</f>
        <v>84.173371505014387</v>
      </c>
      <c r="F20" s="943">
        <f>transport!E14</f>
        <v>913.98135801980129</v>
      </c>
      <c r="G20" s="943">
        <f>transport!F14</f>
        <v>0</v>
      </c>
      <c r="H20" s="943">
        <f>transport!G14</f>
        <v>370437.68795402104</v>
      </c>
      <c r="I20" s="943">
        <f>transport!H14</f>
        <v>52896.016296239919</v>
      </c>
      <c r="J20" s="943">
        <f>transport!I14</f>
        <v>0</v>
      </c>
      <c r="K20" s="943">
        <f>transport!J14</f>
        <v>0</v>
      </c>
      <c r="L20" s="943">
        <f>transport!K14</f>
        <v>0</v>
      </c>
      <c r="M20" s="943">
        <f>transport!L14</f>
        <v>0</v>
      </c>
      <c r="N20" s="943">
        <f>transport!M14</f>
        <v>23090.401669417712</v>
      </c>
      <c r="O20" s="943">
        <f>transport!N14</f>
        <v>0</v>
      </c>
      <c r="P20" s="943">
        <f>transport!O14</f>
        <v>0</v>
      </c>
      <c r="Q20" s="944">
        <f>transport!P14</f>
        <v>0</v>
      </c>
      <c r="R20" s="629">
        <f>SUM(C20:Q20)</f>
        <v>447480.60820647026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68.479065871175109</v>
      </c>
      <c r="D22" s="740">
        <f t="shared" ref="D22:R22" si="1">SUM(D18:D21)</f>
        <v>0</v>
      </c>
      <c r="E22" s="740">
        <f t="shared" si="1"/>
        <v>84.173371505014387</v>
      </c>
      <c r="F22" s="740">
        <f t="shared" si="1"/>
        <v>913.98135801980129</v>
      </c>
      <c r="G22" s="740">
        <f t="shared" si="1"/>
        <v>0</v>
      </c>
      <c r="H22" s="740">
        <f t="shared" si="1"/>
        <v>372357.4751882386</v>
      </c>
      <c r="I22" s="740">
        <f t="shared" si="1"/>
        <v>52896.016296239919</v>
      </c>
      <c r="J22" s="740">
        <f t="shared" si="1"/>
        <v>0</v>
      </c>
      <c r="K22" s="740">
        <f t="shared" si="1"/>
        <v>0</v>
      </c>
      <c r="L22" s="740">
        <f t="shared" si="1"/>
        <v>0</v>
      </c>
      <c r="M22" s="740">
        <f t="shared" si="1"/>
        <v>0</v>
      </c>
      <c r="N22" s="740">
        <f t="shared" si="1"/>
        <v>23200.920050097229</v>
      </c>
      <c r="O22" s="740">
        <f t="shared" si="1"/>
        <v>0</v>
      </c>
      <c r="P22" s="740">
        <f t="shared" si="1"/>
        <v>0</v>
      </c>
      <c r="Q22" s="740">
        <f t="shared" si="1"/>
        <v>0</v>
      </c>
      <c r="R22" s="740">
        <f t="shared" si="1"/>
        <v>449521.04532997176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3598.1186000000002</v>
      </c>
      <c r="D24" s="943">
        <f>+landbouw!C8</f>
        <v>62.357142857142847</v>
      </c>
      <c r="E24" s="943">
        <f>+landbouw!D8</f>
        <v>5035.6452446529738</v>
      </c>
      <c r="F24" s="943">
        <f>+landbouw!E8</f>
        <v>77.156397949880187</v>
      </c>
      <c r="G24" s="943">
        <f>+landbouw!F8</f>
        <v>11671.143779134314</v>
      </c>
      <c r="H24" s="943">
        <f>+landbouw!G8</f>
        <v>0</v>
      </c>
      <c r="I24" s="943">
        <f>+landbouw!H8</f>
        <v>0</v>
      </c>
      <c r="J24" s="943">
        <f>+landbouw!I8</f>
        <v>0</v>
      </c>
      <c r="K24" s="943">
        <f>+landbouw!J8</f>
        <v>346.68062864516668</v>
      </c>
      <c r="L24" s="943">
        <f>+landbouw!K8</f>
        <v>0</v>
      </c>
      <c r="M24" s="943">
        <f>+landbouw!L8</f>
        <v>0</v>
      </c>
      <c r="N24" s="943">
        <f>+landbouw!M8</f>
        <v>0</v>
      </c>
      <c r="O24" s="943">
        <f>+landbouw!N8</f>
        <v>0</v>
      </c>
      <c r="P24" s="943">
        <f>+landbouw!O8</f>
        <v>0</v>
      </c>
      <c r="Q24" s="944">
        <f>+landbouw!P8</f>
        <v>0</v>
      </c>
      <c r="R24" s="629">
        <f>SUM(C24:Q24)</f>
        <v>20791.101793239479</v>
      </c>
      <c r="S24" s="67"/>
    </row>
    <row r="25" spans="1:19" s="438" customFormat="1" ht="15" thickBot="1">
      <c r="A25" s="759" t="s">
        <v>802</v>
      </c>
      <c r="B25" s="946"/>
      <c r="C25" s="947">
        <f>IF(Onbekend_ele_kWh="---",0,Onbekend_ele_kWh)/1000+IF(REST_rest_ele_kWh="---",0,REST_rest_ele_kWh)/1000</f>
        <v>2190.8919999999998</v>
      </c>
      <c r="D25" s="947"/>
      <c r="E25" s="947">
        <f>IF(onbekend_gas_kWh="---",0,onbekend_gas_kWh)/1000+IF(REST_rest_gas_kWh="---",0,REST_rest_gas_kWh)/1000</f>
        <v>5450.1576683092599</v>
      </c>
      <c r="F25" s="947"/>
      <c r="G25" s="947"/>
      <c r="H25" s="947"/>
      <c r="I25" s="947"/>
      <c r="J25" s="947"/>
      <c r="K25" s="947"/>
      <c r="L25" s="947"/>
      <c r="M25" s="947"/>
      <c r="N25" s="947"/>
      <c r="O25" s="947"/>
      <c r="P25" s="947"/>
      <c r="Q25" s="948"/>
      <c r="R25" s="629">
        <f>SUM(C25:Q25)</f>
        <v>7641.0496683092597</v>
      </c>
      <c r="S25" s="67"/>
    </row>
    <row r="26" spans="1:19" s="438" customFormat="1" ht="15.75" thickBot="1">
      <c r="A26" s="634" t="s">
        <v>803</v>
      </c>
      <c r="B26" s="745"/>
      <c r="C26" s="740">
        <f>SUM(C24:C25)</f>
        <v>5789.0105999999996</v>
      </c>
      <c r="D26" s="740">
        <f t="shared" ref="D26:R26" si="2">SUM(D24:D25)</f>
        <v>62.357142857142847</v>
      </c>
      <c r="E26" s="740">
        <f t="shared" si="2"/>
        <v>10485.802912962234</v>
      </c>
      <c r="F26" s="740">
        <f t="shared" si="2"/>
        <v>77.156397949880187</v>
      </c>
      <c r="G26" s="740">
        <f t="shared" si="2"/>
        <v>11671.143779134314</v>
      </c>
      <c r="H26" s="740">
        <f t="shared" si="2"/>
        <v>0</v>
      </c>
      <c r="I26" s="740">
        <f t="shared" si="2"/>
        <v>0</v>
      </c>
      <c r="J26" s="740">
        <f t="shared" si="2"/>
        <v>0</v>
      </c>
      <c r="K26" s="740">
        <f t="shared" si="2"/>
        <v>346.68062864516668</v>
      </c>
      <c r="L26" s="740">
        <f t="shared" si="2"/>
        <v>0</v>
      </c>
      <c r="M26" s="740">
        <f t="shared" si="2"/>
        <v>0</v>
      </c>
      <c r="N26" s="740">
        <f t="shared" si="2"/>
        <v>0</v>
      </c>
      <c r="O26" s="740">
        <f t="shared" si="2"/>
        <v>0</v>
      </c>
      <c r="P26" s="740">
        <f t="shared" si="2"/>
        <v>0</v>
      </c>
      <c r="Q26" s="740">
        <f t="shared" si="2"/>
        <v>0</v>
      </c>
      <c r="R26" s="740">
        <f t="shared" si="2"/>
        <v>28432.151461548739</v>
      </c>
      <c r="S26" s="67"/>
    </row>
    <row r="27" spans="1:19" s="438" customFormat="1" ht="17.25" thickTop="1" thickBot="1">
      <c r="A27" s="635" t="s">
        <v>109</v>
      </c>
      <c r="B27" s="733"/>
      <c r="C27" s="636">
        <f ca="1">C22+C16+C26</f>
        <v>229321.98944550351</v>
      </c>
      <c r="D27" s="636">
        <f t="shared" ref="D27:R27" ca="1" si="3">D22+D16+D26</f>
        <v>62.357142857142847</v>
      </c>
      <c r="E27" s="636">
        <f t="shared" ca="1" si="3"/>
        <v>285271.97115778155</v>
      </c>
      <c r="F27" s="636">
        <f t="shared" si="3"/>
        <v>12184.521626637057</v>
      </c>
      <c r="G27" s="636">
        <f t="shared" ca="1" si="3"/>
        <v>179551.3764122788</v>
      </c>
      <c r="H27" s="636">
        <f t="shared" si="3"/>
        <v>372357.4751882386</v>
      </c>
      <c r="I27" s="636">
        <f t="shared" si="3"/>
        <v>52896.016296239919</v>
      </c>
      <c r="J27" s="636">
        <f t="shared" si="3"/>
        <v>0</v>
      </c>
      <c r="K27" s="636">
        <f t="shared" si="3"/>
        <v>3098.8902405146832</v>
      </c>
      <c r="L27" s="636">
        <f t="shared" si="3"/>
        <v>0</v>
      </c>
      <c r="M27" s="636">
        <f t="shared" ca="1" si="3"/>
        <v>0</v>
      </c>
      <c r="N27" s="636">
        <f t="shared" si="3"/>
        <v>23200.920050097229</v>
      </c>
      <c r="O27" s="636">
        <f t="shared" ca="1" si="3"/>
        <v>37072.088847873689</v>
      </c>
      <c r="P27" s="636">
        <f t="shared" si="3"/>
        <v>428.35333333333335</v>
      </c>
      <c r="Q27" s="636">
        <f t="shared" si="3"/>
        <v>1773.2</v>
      </c>
      <c r="R27" s="636">
        <f t="shared" ca="1" si="3"/>
        <v>1197219.1597413553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14798.242398132999</v>
      </c>
      <c r="D40" s="943">
        <f ca="1">tertiair!C20</f>
        <v>0</v>
      </c>
      <c r="E40" s="943">
        <f ca="1">tertiair!D20</f>
        <v>18599.873102296009</v>
      </c>
      <c r="F40" s="943">
        <f>tertiair!E20</f>
        <v>315.29754950201345</v>
      </c>
      <c r="G40" s="943">
        <f ca="1">tertiair!F20</f>
        <v>4326.1320270813676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38039.545077012386</v>
      </c>
    </row>
    <row r="41" spans="1:18">
      <c r="A41" s="750" t="s">
        <v>214</v>
      </c>
      <c r="B41" s="757"/>
      <c r="C41" s="943">
        <f ca="1">huishoudens!B12</f>
        <v>15188.222039223427</v>
      </c>
      <c r="D41" s="943">
        <f ca="1">huishoudens!C12</f>
        <v>0</v>
      </c>
      <c r="E41" s="943">
        <f>huishoudens!D12</f>
        <v>27200.276264566364</v>
      </c>
      <c r="F41" s="943">
        <f>huishoudens!E12</f>
        <v>660.23269602617222</v>
      </c>
      <c r="G41" s="943">
        <f>huishoudens!F12</f>
        <v>24498.463570483145</v>
      </c>
      <c r="H41" s="943">
        <f>huishoudens!G12</f>
        <v>0</v>
      </c>
      <c r="I41" s="943">
        <f>huishoudens!H12</f>
        <v>0</v>
      </c>
      <c r="J41" s="943">
        <f>huishoudens!I12</f>
        <v>0</v>
      </c>
      <c r="K41" s="943">
        <f>huishoudens!J12</f>
        <v>757.45823494328965</v>
      </c>
      <c r="L41" s="943">
        <f>huishoudens!K12</f>
        <v>0</v>
      </c>
      <c r="M41" s="943">
        <f>huishoudens!L12</f>
        <v>0</v>
      </c>
      <c r="N41" s="943">
        <f>huishoudens!M12</f>
        <v>0</v>
      </c>
      <c r="O41" s="943">
        <f>huishoudens!N12</f>
        <v>0</v>
      </c>
      <c r="P41" s="943">
        <f>huishoudens!O12</f>
        <v>0</v>
      </c>
      <c r="Q41" s="703">
        <f>huishoudens!P12</f>
        <v>0</v>
      </c>
      <c r="R41" s="778">
        <f t="shared" ca="1" si="4"/>
        <v>68304.652805242396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16072.938787453772</v>
      </c>
      <c r="D43" s="943">
        <f ca="1">industrie!C22</f>
        <v>0</v>
      </c>
      <c r="E43" s="943">
        <f>industrie!D22</f>
        <v>9689.6535975471252</v>
      </c>
      <c r="F43" s="943">
        <f>industrie!E22</f>
        <v>1565.3678931133086</v>
      </c>
      <c r="G43" s="943">
        <f>industrie!F22</f>
        <v>15999.426515485065</v>
      </c>
      <c r="H43" s="943">
        <f>industrie!G22</f>
        <v>0</v>
      </c>
      <c r="I43" s="943">
        <f>industrie!H22</f>
        <v>0</v>
      </c>
      <c r="J43" s="943">
        <f>industrie!I22</f>
        <v>0</v>
      </c>
      <c r="K43" s="943">
        <f>industrie!J22</f>
        <v>216.82396765851928</v>
      </c>
      <c r="L43" s="943">
        <f>industrie!K22</f>
        <v>0</v>
      </c>
      <c r="M43" s="943">
        <f>industrie!L22</f>
        <v>0</v>
      </c>
      <c r="N43" s="943">
        <f>industrie!M22</f>
        <v>0</v>
      </c>
      <c r="O43" s="943">
        <f>industrie!N22</f>
        <v>0</v>
      </c>
      <c r="P43" s="943">
        <f>industrie!O22</f>
        <v>0</v>
      </c>
      <c r="Q43" s="703">
        <f>industrie!P22</f>
        <v>0</v>
      </c>
      <c r="R43" s="777">
        <f t="shared" ca="1" si="4"/>
        <v>43544.210761257797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46059.403224810201</v>
      </c>
      <c r="D46" s="661">
        <f t="shared" ref="D46:Q46" ca="1" si="5">SUM(D39:D45)</f>
        <v>0</v>
      </c>
      <c r="E46" s="661">
        <f t="shared" ca="1" si="5"/>
        <v>55489.8029644095</v>
      </c>
      <c r="F46" s="661">
        <f t="shared" si="5"/>
        <v>2540.8981386414944</v>
      </c>
      <c r="G46" s="661">
        <f t="shared" ca="1" si="5"/>
        <v>44824.022113049577</v>
      </c>
      <c r="H46" s="661">
        <f t="shared" si="5"/>
        <v>0</v>
      </c>
      <c r="I46" s="661">
        <f t="shared" si="5"/>
        <v>0</v>
      </c>
      <c r="J46" s="661">
        <f t="shared" si="5"/>
        <v>0</v>
      </c>
      <c r="K46" s="661">
        <f t="shared" si="5"/>
        <v>974.28220260180888</v>
      </c>
      <c r="L46" s="661">
        <f t="shared" si="5"/>
        <v>0</v>
      </c>
      <c r="M46" s="661">
        <f t="shared" ca="1" si="5"/>
        <v>0</v>
      </c>
      <c r="N46" s="661">
        <f t="shared" si="5"/>
        <v>0</v>
      </c>
      <c r="O46" s="661">
        <f t="shared" ca="1" si="5"/>
        <v>0</v>
      </c>
      <c r="P46" s="661">
        <f t="shared" si="5"/>
        <v>0</v>
      </c>
      <c r="Q46" s="661">
        <f t="shared" si="5"/>
        <v>0</v>
      </c>
      <c r="R46" s="661">
        <f ca="1">SUM(R39:R45)</f>
        <v>149888.40864351258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2.0882567054149148</v>
      </c>
      <c r="D49" s="943">
        <f ca="1">transport!C58</f>
        <v>0</v>
      </c>
      <c r="E49" s="943">
        <f>transport!D58</f>
        <v>0</v>
      </c>
      <c r="F49" s="943">
        <f>transport!E58</f>
        <v>0</v>
      </c>
      <c r="G49" s="943">
        <f>transport!F58</f>
        <v>0</v>
      </c>
      <c r="H49" s="943">
        <f>transport!G58</f>
        <v>512.5831915360867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514.67144824150159</v>
      </c>
    </row>
    <row r="50" spans="1:18">
      <c r="A50" s="753" t="s">
        <v>296</v>
      </c>
      <c r="B50" s="763"/>
      <c r="C50" s="632">
        <f ca="1">transport!B18</f>
        <v>12.026311427461616</v>
      </c>
      <c r="D50" s="632">
        <f>transport!C18</f>
        <v>0</v>
      </c>
      <c r="E50" s="632">
        <f>transport!D18</f>
        <v>17.003021044012907</v>
      </c>
      <c r="F50" s="632">
        <f>transport!E18</f>
        <v>207.4737682704949</v>
      </c>
      <c r="G50" s="632">
        <f>transport!F18</f>
        <v>0</v>
      </c>
      <c r="H50" s="632">
        <f>transport!G18</f>
        <v>98906.862683723622</v>
      </c>
      <c r="I50" s="632">
        <f>transport!H18</f>
        <v>13171.10805776374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112314.47384222934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14.114568132876531</v>
      </c>
      <c r="D52" s="661">
        <f t="shared" ref="D52:Q52" ca="1" si="6">SUM(D48:D51)</f>
        <v>0</v>
      </c>
      <c r="E52" s="661">
        <f t="shared" si="6"/>
        <v>17.003021044012907</v>
      </c>
      <c r="F52" s="661">
        <f t="shared" si="6"/>
        <v>207.4737682704949</v>
      </c>
      <c r="G52" s="661">
        <f t="shared" si="6"/>
        <v>0</v>
      </c>
      <c r="H52" s="661">
        <f t="shared" si="6"/>
        <v>99419.445875259713</v>
      </c>
      <c r="I52" s="661">
        <f t="shared" si="6"/>
        <v>13171.10805776374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112829.14529047084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741.62650269514882</v>
      </c>
      <c r="D54" s="632">
        <f ca="1">+landbouw!C12</f>
        <v>0</v>
      </c>
      <c r="E54" s="632">
        <f>+landbouw!D12</f>
        <v>1017.2003394199007</v>
      </c>
      <c r="F54" s="632">
        <f>+landbouw!E12</f>
        <v>17.514502334622804</v>
      </c>
      <c r="G54" s="632">
        <f>+landbouw!F12</f>
        <v>3116.1953890288619</v>
      </c>
      <c r="H54" s="632">
        <f>+landbouw!G12</f>
        <v>0</v>
      </c>
      <c r="I54" s="632">
        <f>+landbouw!H12</f>
        <v>0</v>
      </c>
      <c r="J54" s="632">
        <f>+landbouw!I12</f>
        <v>0</v>
      </c>
      <c r="K54" s="632">
        <f>+landbouw!J12</f>
        <v>122.72494254038899</v>
      </c>
      <c r="L54" s="632">
        <f>+landbouw!K12</f>
        <v>0</v>
      </c>
      <c r="M54" s="632">
        <f>+landbouw!L12</f>
        <v>0</v>
      </c>
      <c r="N54" s="632">
        <f>+landbouw!M12</f>
        <v>0</v>
      </c>
      <c r="O54" s="632">
        <f>+landbouw!N12</f>
        <v>0</v>
      </c>
      <c r="P54" s="632">
        <f>+landbouw!O12</f>
        <v>0</v>
      </c>
      <c r="Q54" s="633">
        <f>+landbouw!P12</f>
        <v>0</v>
      </c>
      <c r="R54" s="660">
        <f ca="1">SUM(C54:Q54)</f>
        <v>5015.261676018923</v>
      </c>
    </row>
    <row r="55" spans="1:18" ht="15" thickBot="1">
      <c r="A55" s="753" t="s">
        <v>802</v>
      </c>
      <c r="B55" s="763"/>
      <c r="C55" s="632">
        <f ca="1">C25*'EF ele_warmte'!B12</f>
        <v>451.57587961185601</v>
      </c>
      <c r="D55" s="632"/>
      <c r="E55" s="632">
        <f>E25*EF_CO2_aardgas</f>
        <v>1100.9318489984705</v>
      </c>
      <c r="F55" s="632"/>
      <c r="G55" s="632"/>
      <c r="H55" s="632"/>
      <c r="I55" s="632"/>
      <c r="J55" s="632"/>
      <c r="K55" s="632"/>
      <c r="L55" s="632"/>
      <c r="M55" s="632"/>
      <c r="N55" s="632"/>
      <c r="O55" s="632"/>
      <c r="P55" s="632"/>
      <c r="Q55" s="633"/>
      <c r="R55" s="660">
        <f ca="1">SUM(C55:Q55)</f>
        <v>1552.5077286103265</v>
      </c>
    </row>
    <row r="56" spans="1:18" ht="15.75" thickBot="1">
      <c r="A56" s="751" t="s">
        <v>803</v>
      </c>
      <c r="B56" s="764"/>
      <c r="C56" s="661">
        <f ca="1">SUM(C54:C55)</f>
        <v>1193.2023823070049</v>
      </c>
      <c r="D56" s="661">
        <f t="shared" ref="D56:Q56" ca="1" si="7">SUM(D54:D55)</f>
        <v>0</v>
      </c>
      <c r="E56" s="661">
        <f t="shared" si="7"/>
        <v>2118.1321884183712</v>
      </c>
      <c r="F56" s="661">
        <f t="shared" si="7"/>
        <v>17.514502334622804</v>
      </c>
      <c r="G56" s="661">
        <f t="shared" si="7"/>
        <v>3116.1953890288619</v>
      </c>
      <c r="H56" s="661">
        <f t="shared" si="7"/>
        <v>0</v>
      </c>
      <c r="I56" s="661">
        <f t="shared" si="7"/>
        <v>0</v>
      </c>
      <c r="J56" s="661">
        <f t="shared" si="7"/>
        <v>0</v>
      </c>
      <c r="K56" s="661">
        <f t="shared" si="7"/>
        <v>122.72494254038899</v>
      </c>
      <c r="L56" s="661">
        <f t="shared" si="7"/>
        <v>0</v>
      </c>
      <c r="M56" s="661">
        <f t="shared" si="7"/>
        <v>0</v>
      </c>
      <c r="N56" s="661">
        <f t="shared" si="7"/>
        <v>0</v>
      </c>
      <c r="O56" s="661">
        <f t="shared" si="7"/>
        <v>0</v>
      </c>
      <c r="P56" s="661">
        <f t="shared" si="7"/>
        <v>0</v>
      </c>
      <c r="Q56" s="662">
        <f t="shared" si="7"/>
        <v>0</v>
      </c>
      <c r="R56" s="663">
        <f ca="1">SUM(R54:R55)</f>
        <v>6567.769404629249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47266.720175250084</v>
      </c>
      <c r="D61" s="669">
        <f t="shared" ref="D61:Q61" ca="1" si="8">D46+D52+D56</f>
        <v>0</v>
      </c>
      <c r="E61" s="669">
        <f t="shared" ca="1" si="8"/>
        <v>57624.938173871888</v>
      </c>
      <c r="F61" s="669">
        <f t="shared" si="8"/>
        <v>2765.8864092466119</v>
      </c>
      <c r="G61" s="669">
        <f t="shared" ca="1" si="8"/>
        <v>47940.217502078442</v>
      </c>
      <c r="H61" s="669">
        <f t="shared" si="8"/>
        <v>99419.445875259713</v>
      </c>
      <c r="I61" s="669">
        <f t="shared" si="8"/>
        <v>13171.10805776374</v>
      </c>
      <c r="J61" s="669">
        <f t="shared" si="8"/>
        <v>0</v>
      </c>
      <c r="K61" s="669">
        <f t="shared" si="8"/>
        <v>1097.0071451421979</v>
      </c>
      <c r="L61" s="669">
        <f t="shared" si="8"/>
        <v>0</v>
      </c>
      <c r="M61" s="669">
        <f t="shared" ca="1" si="8"/>
        <v>0</v>
      </c>
      <c r="N61" s="669">
        <f t="shared" si="8"/>
        <v>0</v>
      </c>
      <c r="O61" s="669">
        <f t="shared" ca="1" si="8"/>
        <v>0</v>
      </c>
      <c r="P61" s="669">
        <f t="shared" si="8"/>
        <v>0</v>
      </c>
      <c r="Q61" s="669">
        <f t="shared" si="8"/>
        <v>0</v>
      </c>
      <c r="R61" s="669">
        <f ca="1">R46+R52+R56</f>
        <v>269285.32333861268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0.20611507989068198</v>
      </c>
      <c r="D63" s="710">
        <f t="shared" ca="1" si="9"/>
        <v>0</v>
      </c>
      <c r="E63" s="954">
        <f t="shared" ca="1" si="9"/>
        <v>0.20200000000000004</v>
      </c>
      <c r="F63" s="710">
        <f t="shared" si="9"/>
        <v>0.22700000000000001</v>
      </c>
      <c r="G63" s="710">
        <f t="shared" ca="1" si="9"/>
        <v>0.26700000000000002</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15401.777566543875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15445.427566543874</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73688.068079632314</v>
      </c>
      <c r="C4" s="442">
        <f>huishoudens!C8</f>
        <v>0</v>
      </c>
      <c r="D4" s="442">
        <f>huishoudens!D8</f>
        <v>134654.83299290278</v>
      </c>
      <c r="E4" s="442">
        <f>huishoudens!E8</f>
        <v>2908.5140794104504</v>
      </c>
      <c r="F4" s="442">
        <f>huishoudens!F8</f>
        <v>91754.545207802032</v>
      </c>
      <c r="G4" s="442">
        <f>huishoudens!G8</f>
        <v>0</v>
      </c>
      <c r="H4" s="442">
        <f>huishoudens!H8</f>
        <v>0</v>
      </c>
      <c r="I4" s="442">
        <f>huishoudens!I8</f>
        <v>0</v>
      </c>
      <c r="J4" s="442">
        <f>huishoudens!J8</f>
        <v>2139.7125280883888</v>
      </c>
      <c r="K4" s="442">
        <f>huishoudens!K8</f>
        <v>0</v>
      </c>
      <c r="L4" s="442">
        <f>huishoudens!L8</f>
        <v>0</v>
      </c>
      <c r="M4" s="442">
        <f>huishoudens!M8</f>
        <v>0</v>
      </c>
      <c r="N4" s="442">
        <f>huishoudens!N8</f>
        <v>18449.985949207155</v>
      </c>
      <c r="O4" s="442">
        <f>huishoudens!O8</f>
        <v>417.41</v>
      </c>
      <c r="P4" s="443">
        <f>huishoudens!P8</f>
        <v>1639.7333333333333</v>
      </c>
      <c r="Q4" s="444">
        <f>SUM(B4:P4)</f>
        <v>325652.80217037635</v>
      </c>
    </row>
    <row r="5" spans="1:17">
      <c r="A5" s="441" t="s">
        <v>149</v>
      </c>
      <c r="B5" s="442">
        <f ca="1">tertiair!B16</f>
        <v>69216.762999999992</v>
      </c>
      <c r="C5" s="442">
        <f ca="1">tertiair!C16</f>
        <v>0</v>
      </c>
      <c r="D5" s="442">
        <f ca="1">tertiair!D16</f>
        <v>92078.57971433668</v>
      </c>
      <c r="E5" s="442">
        <f>tertiair!E16</f>
        <v>1388.975988995654</v>
      </c>
      <c r="F5" s="442">
        <f ca="1">tertiair!F16</f>
        <v>16202.74167446205</v>
      </c>
      <c r="G5" s="442">
        <f>tertiair!G16</f>
        <v>0</v>
      </c>
      <c r="H5" s="442">
        <f>tertiair!H16</f>
        <v>0</v>
      </c>
      <c r="I5" s="442">
        <f>tertiair!I16</f>
        <v>0</v>
      </c>
      <c r="J5" s="442">
        <f>tertiair!J16</f>
        <v>0</v>
      </c>
      <c r="K5" s="442">
        <f>tertiair!K16</f>
        <v>0</v>
      </c>
      <c r="L5" s="442">
        <f ca="1">tertiair!L16</f>
        <v>0</v>
      </c>
      <c r="M5" s="442">
        <f>tertiair!M16</f>
        <v>0</v>
      </c>
      <c r="N5" s="442">
        <f ca="1">tertiair!N16</f>
        <v>4942.878775062818</v>
      </c>
      <c r="O5" s="442">
        <f>tertiair!O16</f>
        <v>10.943333333333335</v>
      </c>
      <c r="P5" s="443">
        <f>tertiair!P16</f>
        <v>133.46666666666667</v>
      </c>
      <c r="Q5" s="441">
        <f t="shared" ref="Q5:Q14" ca="1" si="0">SUM(B5:P5)</f>
        <v>183974.3491528572</v>
      </c>
    </row>
    <row r="6" spans="1:17">
      <c r="A6" s="441" t="s">
        <v>187</v>
      </c>
      <c r="B6" s="442">
        <f>'openbare verlichting'!B8</f>
        <v>2579.2570000000001</v>
      </c>
      <c r="C6" s="442"/>
      <c r="D6" s="442"/>
      <c r="E6" s="442"/>
      <c r="F6" s="442"/>
      <c r="G6" s="442"/>
      <c r="H6" s="442"/>
      <c r="I6" s="442"/>
      <c r="J6" s="442"/>
      <c r="K6" s="442"/>
      <c r="L6" s="442"/>
      <c r="M6" s="442"/>
      <c r="N6" s="442"/>
      <c r="O6" s="442"/>
      <c r="P6" s="443"/>
      <c r="Q6" s="441">
        <f t="shared" si="0"/>
        <v>2579.2570000000001</v>
      </c>
    </row>
    <row r="7" spans="1:17">
      <c r="A7" s="441" t="s">
        <v>105</v>
      </c>
      <c r="B7" s="442">
        <f>landbouw!B8</f>
        <v>3598.1186000000002</v>
      </c>
      <c r="C7" s="442">
        <f>landbouw!C8</f>
        <v>62.357142857142847</v>
      </c>
      <c r="D7" s="442">
        <f>landbouw!D8</f>
        <v>5035.6452446529738</v>
      </c>
      <c r="E7" s="442">
        <f>landbouw!E8</f>
        <v>77.156397949880187</v>
      </c>
      <c r="F7" s="442">
        <f>landbouw!F8</f>
        <v>11671.143779134314</v>
      </c>
      <c r="G7" s="442">
        <f>landbouw!G8</f>
        <v>0</v>
      </c>
      <c r="H7" s="442">
        <f>landbouw!H8</f>
        <v>0</v>
      </c>
      <c r="I7" s="442">
        <f>landbouw!I8</f>
        <v>0</v>
      </c>
      <c r="J7" s="442">
        <f>landbouw!J8</f>
        <v>346.68062864516668</v>
      </c>
      <c r="K7" s="442">
        <f>landbouw!K8</f>
        <v>0</v>
      </c>
      <c r="L7" s="442">
        <f>landbouw!L8</f>
        <v>0</v>
      </c>
      <c r="M7" s="442">
        <f>landbouw!M8</f>
        <v>0</v>
      </c>
      <c r="N7" s="442">
        <f>landbouw!N8</f>
        <v>0</v>
      </c>
      <c r="O7" s="442">
        <f>landbouw!O8</f>
        <v>0</v>
      </c>
      <c r="P7" s="443">
        <f>landbouw!P8</f>
        <v>0</v>
      </c>
      <c r="Q7" s="441">
        <f t="shared" si="0"/>
        <v>20791.101793239479</v>
      </c>
    </row>
    <row r="8" spans="1:17">
      <c r="A8" s="441" t="s">
        <v>612</v>
      </c>
      <c r="B8" s="442">
        <f>industrie!B18</f>
        <v>77980.411699999997</v>
      </c>
      <c r="C8" s="442">
        <f>industrie!C18</f>
        <v>0</v>
      </c>
      <c r="D8" s="442">
        <f>industrie!D18</f>
        <v>47968.582166074877</v>
      </c>
      <c r="E8" s="442">
        <f>industrie!E18</f>
        <v>6895.893802261271</v>
      </c>
      <c r="F8" s="442">
        <f>industrie!F18</f>
        <v>59922.94575088039</v>
      </c>
      <c r="G8" s="442">
        <f>industrie!G18</f>
        <v>0</v>
      </c>
      <c r="H8" s="442">
        <f>industrie!H18</f>
        <v>0</v>
      </c>
      <c r="I8" s="442">
        <f>industrie!I18</f>
        <v>0</v>
      </c>
      <c r="J8" s="442">
        <f>industrie!J18</f>
        <v>612.49708378112791</v>
      </c>
      <c r="K8" s="442">
        <f>industrie!K18</f>
        <v>0</v>
      </c>
      <c r="L8" s="442">
        <f>industrie!L18</f>
        <v>0</v>
      </c>
      <c r="M8" s="442">
        <f>industrie!M18</f>
        <v>0</v>
      </c>
      <c r="N8" s="442">
        <f>industrie!N18</f>
        <v>13679.224123603717</v>
      </c>
      <c r="O8" s="442">
        <f>industrie!O18</f>
        <v>0</v>
      </c>
      <c r="P8" s="443">
        <f>industrie!P18</f>
        <v>0</v>
      </c>
      <c r="Q8" s="441">
        <f t="shared" si="0"/>
        <v>207059.55462660143</v>
      </c>
    </row>
    <row r="9" spans="1:17" s="447" customFormat="1">
      <c r="A9" s="445" t="s">
        <v>556</v>
      </c>
      <c r="B9" s="446">
        <f>transport!B14</f>
        <v>58.347557266746598</v>
      </c>
      <c r="C9" s="446">
        <f>transport!C14</f>
        <v>0</v>
      </c>
      <c r="D9" s="446">
        <f>transport!D14</f>
        <v>84.173371505014387</v>
      </c>
      <c r="E9" s="446">
        <f>transport!E14</f>
        <v>913.98135801980129</v>
      </c>
      <c r="F9" s="446">
        <f>transport!F14</f>
        <v>0</v>
      </c>
      <c r="G9" s="446">
        <f>transport!G14</f>
        <v>370437.68795402104</v>
      </c>
      <c r="H9" s="446">
        <f>transport!H14</f>
        <v>52896.016296239919</v>
      </c>
      <c r="I9" s="446">
        <f>transport!I14</f>
        <v>0</v>
      </c>
      <c r="J9" s="446">
        <f>transport!J14</f>
        <v>0</v>
      </c>
      <c r="K9" s="446">
        <f>transport!K14</f>
        <v>0</v>
      </c>
      <c r="L9" s="446">
        <f>transport!L14</f>
        <v>0</v>
      </c>
      <c r="M9" s="446">
        <f>transport!M14</f>
        <v>23090.401669417712</v>
      </c>
      <c r="N9" s="446">
        <f>transport!N14</f>
        <v>0</v>
      </c>
      <c r="O9" s="446">
        <f>transport!O14</f>
        <v>0</v>
      </c>
      <c r="P9" s="446">
        <f>transport!P14</f>
        <v>0</v>
      </c>
      <c r="Q9" s="445">
        <f>SUM(B9:P9)</f>
        <v>447480.60820647026</v>
      </c>
    </row>
    <row r="10" spans="1:17">
      <c r="A10" s="441" t="s">
        <v>546</v>
      </c>
      <c r="B10" s="442">
        <f>transport!B54</f>
        <v>10.131508604428513</v>
      </c>
      <c r="C10" s="442">
        <f>transport!C54</f>
        <v>0</v>
      </c>
      <c r="D10" s="442">
        <f>transport!D54</f>
        <v>0</v>
      </c>
      <c r="E10" s="442">
        <f>transport!E54</f>
        <v>0</v>
      </c>
      <c r="F10" s="442">
        <f>transport!F54</f>
        <v>0</v>
      </c>
      <c r="G10" s="442">
        <f>transport!G54</f>
        <v>1919.7872342175531</v>
      </c>
      <c r="H10" s="442">
        <f>transport!H54</f>
        <v>0</v>
      </c>
      <c r="I10" s="442">
        <f>transport!I54</f>
        <v>0</v>
      </c>
      <c r="J10" s="442">
        <f>transport!J54</f>
        <v>0</v>
      </c>
      <c r="K10" s="442">
        <f>transport!K54</f>
        <v>0</v>
      </c>
      <c r="L10" s="442">
        <f>transport!L54</f>
        <v>0</v>
      </c>
      <c r="M10" s="442">
        <f>transport!M54</f>
        <v>110.51838067951707</v>
      </c>
      <c r="N10" s="442">
        <f>transport!N54</f>
        <v>0</v>
      </c>
      <c r="O10" s="442">
        <f>transport!O54</f>
        <v>0</v>
      </c>
      <c r="P10" s="443">
        <f>transport!P54</f>
        <v>0</v>
      </c>
      <c r="Q10" s="441">
        <f t="shared" si="0"/>
        <v>2040.4371235014987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2190.8919999999998</v>
      </c>
      <c r="C14" s="449"/>
      <c r="D14" s="449">
        <f>'SEAP template'!E25</f>
        <v>5450.1576683092599</v>
      </c>
      <c r="E14" s="449"/>
      <c r="F14" s="449"/>
      <c r="G14" s="449"/>
      <c r="H14" s="449"/>
      <c r="I14" s="449"/>
      <c r="J14" s="449"/>
      <c r="K14" s="449"/>
      <c r="L14" s="449"/>
      <c r="M14" s="449"/>
      <c r="N14" s="449"/>
      <c r="O14" s="449"/>
      <c r="P14" s="450"/>
      <c r="Q14" s="441">
        <f t="shared" si="0"/>
        <v>7641.0496683092597</v>
      </c>
    </row>
    <row r="15" spans="1:17" s="451" customFormat="1">
      <c r="A15" s="969" t="s">
        <v>550</v>
      </c>
      <c r="B15" s="909">
        <f ca="1">SUM(B4:B14)</f>
        <v>229321.98944550345</v>
      </c>
      <c r="C15" s="909">
        <f t="shared" ref="C15:Q15" ca="1" si="1">SUM(C4:C14)</f>
        <v>62.357142857142847</v>
      </c>
      <c r="D15" s="909">
        <f t="shared" ca="1" si="1"/>
        <v>285271.97115778161</v>
      </c>
      <c r="E15" s="909">
        <f t="shared" si="1"/>
        <v>12184.521626637057</v>
      </c>
      <c r="F15" s="909">
        <f t="shared" ca="1" si="1"/>
        <v>179551.3764122788</v>
      </c>
      <c r="G15" s="909">
        <f t="shared" si="1"/>
        <v>372357.4751882386</v>
      </c>
      <c r="H15" s="909">
        <f t="shared" si="1"/>
        <v>52896.016296239919</v>
      </c>
      <c r="I15" s="909">
        <f t="shared" si="1"/>
        <v>0</v>
      </c>
      <c r="J15" s="909">
        <f t="shared" si="1"/>
        <v>3098.8902405146832</v>
      </c>
      <c r="K15" s="909">
        <f t="shared" si="1"/>
        <v>0</v>
      </c>
      <c r="L15" s="909">
        <f t="shared" ca="1" si="1"/>
        <v>0</v>
      </c>
      <c r="M15" s="909">
        <f t="shared" si="1"/>
        <v>23200.920050097229</v>
      </c>
      <c r="N15" s="909">
        <f t="shared" ca="1" si="1"/>
        <v>37072.088847873689</v>
      </c>
      <c r="O15" s="909">
        <f t="shared" si="1"/>
        <v>428.35333333333335</v>
      </c>
      <c r="P15" s="909">
        <f t="shared" si="1"/>
        <v>1773.2</v>
      </c>
      <c r="Q15" s="909">
        <f t="shared" ca="1" si="1"/>
        <v>1197219.1597413553</v>
      </c>
    </row>
    <row r="17" spans="1:17">
      <c r="A17" s="452" t="s">
        <v>551</v>
      </c>
      <c r="B17" s="715">
        <f ca="1">huishoudens!B10</f>
        <v>0.20611507989068198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15188.222039223427</v>
      </c>
      <c r="C22" s="442">
        <f t="shared" ref="C22:C32" ca="1" si="3">C4*$C$17</f>
        <v>0</v>
      </c>
      <c r="D22" s="442">
        <f t="shared" ref="D22:D32" si="4">D4*$D$17</f>
        <v>27200.276264566364</v>
      </c>
      <c r="E22" s="442">
        <f t="shared" ref="E22:E32" si="5">E4*$E$17</f>
        <v>660.23269602617222</v>
      </c>
      <c r="F22" s="442">
        <f t="shared" ref="F22:F32" si="6">F4*$F$17</f>
        <v>24498.463570483145</v>
      </c>
      <c r="G22" s="442">
        <f t="shared" ref="G22:G32" si="7">G4*$G$17</f>
        <v>0</v>
      </c>
      <c r="H22" s="442">
        <f t="shared" ref="H22:H32" si="8">H4*$H$17</f>
        <v>0</v>
      </c>
      <c r="I22" s="442">
        <f t="shared" ref="I22:I32" si="9">I4*$I$17</f>
        <v>0</v>
      </c>
      <c r="J22" s="442">
        <f t="shared" ref="J22:J32" si="10">J4*$J$17</f>
        <v>757.45823494328965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68304.652805242396</v>
      </c>
    </row>
    <row r="23" spans="1:17">
      <c r="A23" s="441" t="s">
        <v>149</v>
      </c>
      <c r="B23" s="442">
        <f t="shared" ca="1" si="2"/>
        <v>14266.618635519399</v>
      </c>
      <c r="C23" s="442">
        <f t="shared" ca="1" si="3"/>
        <v>0</v>
      </c>
      <c r="D23" s="442">
        <f t="shared" ca="1" si="4"/>
        <v>18599.873102296009</v>
      </c>
      <c r="E23" s="442">
        <f t="shared" si="5"/>
        <v>315.29754950201345</v>
      </c>
      <c r="F23" s="442">
        <f t="shared" ca="1" si="6"/>
        <v>4326.1320270813676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37507.921314398787</v>
      </c>
    </row>
    <row r="24" spans="1:17">
      <c r="A24" s="441" t="s">
        <v>187</v>
      </c>
      <c r="B24" s="442">
        <f t="shared" ca="1" si="2"/>
        <v>531.62376261360077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531.62376261360077</v>
      </c>
    </row>
    <row r="25" spans="1:17">
      <c r="A25" s="441" t="s">
        <v>105</v>
      </c>
      <c r="B25" s="442">
        <f t="shared" ca="1" si="2"/>
        <v>741.62650269514882</v>
      </c>
      <c r="C25" s="442">
        <f t="shared" ca="1" si="3"/>
        <v>0</v>
      </c>
      <c r="D25" s="442">
        <f t="shared" si="4"/>
        <v>1017.2003394199007</v>
      </c>
      <c r="E25" s="442">
        <f t="shared" si="5"/>
        <v>17.514502334622804</v>
      </c>
      <c r="F25" s="442">
        <f t="shared" si="6"/>
        <v>3116.1953890288619</v>
      </c>
      <c r="G25" s="442">
        <f t="shared" si="7"/>
        <v>0</v>
      </c>
      <c r="H25" s="442">
        <f t="shared" si="8"/>
        <v>0</v>
      </c>
      <c r="I25" s="442">
        <f t="shared" si="9"/>
        <v>0</v>
      </c>
      <c r="J25" s="442">
        <f t="shared" si="10"/>
        <v>122.72494254038899</v>
      </c>
      <c r="K25" s="442">
        <f t="shared" si="11"/>
        <v>0</v>
      </c>
      <c r="L25" s="442">
        <f t="shared" si="12"/>
        <v>0</v>
      </c>
      <c r="M25" s="442">
        <f t="shared" si="13"/>
        <v>0</v>
      </c>
      <c r="N25" s="442">
        <f t="shared" si="14"/>
        <v>0</v>
      </c>
      <c r="O25" s="442">
        <f t="shared" si="15"/>
        <v>0</v>
      </c>
      <c r="P25" s="443">
        <f t="shared" si="16"/>
        <v>0</v>
      </c>
      <c r="Q25" s="441">
        <f t="shared" ca="1" si="17"/>
        <v>5015.261676018923</v>
      </c>
    </row>
    <row r="26" spans="1:17">
      <c r="A26" s="441" t="s">
        <v>612</v>
      </c>
      <c r="B26" s="442">
        <f t="shared" ca="1" si="2"/>
        <v>16072.938787453772</v>
      </c>
      <c r="C26" s="442">
        <f t="shared" ca="1" si="3"/>
        <v>0</v>
      </c>
      <c r="D26" s="442">
        <f t="shared" si="4"/>
        <v>9689.6535975471252</v>
      </c>
      <c r="E26" s="442">
        <f t="shared" si="5"/>
        <v>1565.3678931133086</v>
      </c>
      <c r="F26" s="442">
        <f t="shared" si="6"/>
        <v>15999.426515485065</v>
      </c>
      <c r="G26" s="442">
        <f t="shared" si="7"/>
        <v>0</v>
      </c>
      <c r="H26" s="442">
        <f t="shared" si="8"/>
        <v>0</v>
      </c>
      <c r="I26" s="442">
        <f t="shared" si="9"/>
        <v>0</v>
      </c>
      <c r="J26" s="442">
        <f t="shared" si="10"/>
        <v>216.82396765851928</v>
      </c>
      <c r="K26" s="442">
        <f t="shared" si="11"/>
        <v>0</v>
      </c>
      <c r="L26" s="442">
        <f t="shared" si="12"/>
        <v>0</v>
      </c>
      <c r="M26" s="442">
        <f t="shared" si="13"/>
        <v>0</v>
      </c>
      <c r="N26" s="442">
        <f t="shared" si="14"/>
        <v>0</v>
      </c>
      <c r="O26" s="442">
        <f t="shared" si="15"/>
        <v>0</v>
      </c>
      <c r="P26" s="443">
        <f t="shared" si="16"/>
        <v>0</v>
      </c>
      <c r="Q26" s="441">
        <f t="shared" ca="1" si="17"/>
        <v>43544.210761257797</v>
      </c>
    </row>
    <row r="27" spans="1:17" s="447" customFormat="1">
      <c r="A27" s="445" t="s">
        <v>556</v>
      </c>
      <c r="B27" s="709">
        <f t="shared" ca="1" si="2"/>
        <v>12.026311427461616</v>
      </c>
      <c r="C27" s="446">
        <f t="shared" ca="1" si="3"/>
        <v>0</v>
      </c>
      <c r="D27" s="446">
        <f t="shared" si="4"/>
        <v>17.003021044012907</v>
      </c>
      <c r="E27" s="446">
        <f t="shared" si="5"/>
        <v>207.4737682704949</v>
      </c>
      <c r="F27" s="446">
        <f t="shared" si="6"/>
        <v>0</v>
      </c>
      <c r="G27" s="446">
        <f t="shared" si="7"/>
        <v>98906.862683723622</v>
      </c>
      <c r="H27" s="446">
        <f t="shared" si="8"/>
        <v>13171.10805776374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112314.47384222934</v>
      </c>
    </row>
    <row r="28" spans="1:17">
      <c r="A28" s="441" t="s">
        <v>546</v>
      </c>
      <c r="B28" s="442">
        <f t="shared" ca="1" si="2"/>
        <v>2.0882567054149148</v>
      </c>
      <c r="C28" s="442">
        <f t="shared" ca="1" si="3"/>
        <v>0</v>
      </c>
      <c r="D28" s="442">
        <f t="shared" si="4"/>
        <v>0</v>
      </c>
      <c r="E28" s="442">
        <f t="shared" si="5"/>
        <v>0</v>
      </c>
      <c r="F28" s="442">
        <f t="shared" si="6"/>
        <v>0</v>
      </c>
      <c r="G28" s="442">
        <f t="shared" si="7"/>
        <v>512.5831915360867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514.67144824150159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451.57587961185601</v>
      </c>
      <c r="C32" s="442">
        <f t="shared" ca="1" si="3"/>
        <v>0</v>
      </c>
      <c r="D32" s="442">
        <f t="shared" si="4"/>
        <v>1100.9318489984705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1552.5077286103265</v>
      </c>
    </row>
    <row r="33" spans="1:17" s="451" customFormat="1">
      <c r="A33" s="969" t="s">
        <v>550</v>
      </c>
      <c r="B33" s="909">
        <f ca="1">SUM(B22:B32)</f>
        <v>47266.720175250077</v>
      </c>
      <c r="C33" s="909">
        <f t="shared" ref="C33:Q33" ca="1" si="18">SUM(C22:C32)</f>
        <v>0</v>
      </c>
      <c r="D33" s="909">
        <f t="shared" ca="1" si="18"/>
        <v>57624.938173871888</v>
      </c>
      <c r="E33" s="909">
        <f t="shared" si="18"/>
        <v>2765.8864092466119</v>
      </c>
      <c r="F33" s="909">
        <f t="shared" ca="1" si="18"/>
        <v>47940.217502078434</v>
      </c>
      <c r="G33" s="909">
        <f t="shared" si="18"/>
        <v>99419.445875259713</v>
      </c>
      <c r="H33" s="909">
        <f t="shared" si="18"/>
        <v>13171.10805776374</v>
      </c>
      <c r="I33" s="909">
        <f t="shared" si="18"/>
        <v>0</v>
      </c>
      <c r="J33" s="909">
        <f t="shared" si="18"/>
        <v>1097.0071451421979</v>
      </c>
      <c r="K33" s="909">
        <f t="shared" si="18"/>
        <v>0</v>
      </c>
      <c r="L33" s="909">
        <f t="shared" ca="1" si="18"/>
        <v>0</v>
      </c>
      <c r="M33" s="909">
        <f t="shared" si="18"/>
        <v>0</v>
      </c>
      <c r="N33" s="909">
        <f t="shared" ca="1" si="18"/>
        <v>0</v>
      </c>
      <c r="O33" s="909">
        <f t="shared" si="18"/>
        <v>0</v>
      </c>
      <c r="P33" s="909">
        <f t="shared" si="18"/>
        <v>0</v>
      </c>
      <c r="Q33" s="909">
        <f t="shared" ca="1" si="18"/>
        <v>269285.32333861268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15401.777566543875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15445.427566543874</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0.20611507989068198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0.20611507989068198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2022-07-26T11:44:29Z</dcterms:modified>
</cp:coreProperties>
</file>