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8A0E30E-5AF5-471F-BAA6-CF9BF8A93AC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<sst xmlns="http://schemas.openxmlformats.org/spreadsheetml/2006/main" count="2431" uniqueCount="904">
  <si>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</si>
  <si>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</si>
  <si>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</si>
  <si>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</si>
  <si>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</si>
  <si>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</si>
  <si>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</si>
  <si>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</si>
  <si>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</si>
  <si>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</si>
  <si>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</si>
  <si>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</si>
  <si>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</si>
  <si>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</si>
  <si>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</si>
  <si>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</si>
  <si>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</si>
  <si>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</si>
  <si>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</si>
  <si>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</si>
  <si>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</si>
  <si>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</si>
  <si>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</si>
  <si>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</si>
  <si>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</si>
  <si>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</si>
  <si>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</si>
  <si>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</si>
  <si>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</si>
  <si>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</si>
  <si>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</si>
  <si>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</si>
  <si>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</si>
  <si>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</si>
  <si>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</si>
  <si>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</si>
  <si>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</si>
  <si>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</si>
  <si>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</si>
  <si>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</si>
  <si>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</si>
  <si>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</si>
  <si>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</si>
  <si>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</si>
  <si>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</si>
  <si>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</si>
  <si>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</si>
  <si>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</si>
  <si>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</si>
  <si>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</si>
  <si>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</si>
  <si>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</si>
  <si>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</si>
  <si>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</si>
  <si>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</si>
  <si>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</si>
  <si>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</si>
  <si>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</si>
  <si>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</si>
  <si>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</si>
  <si>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</si>
  <si>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</si>
  <si>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</si>
  <si>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</si>
  <si>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</si>
  <si>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</si>
  <si>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</si>
  <si>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</si>
  <si>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</si>
  <si>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</si>
  <si>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</si>
  <si>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</si>
  <si>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</si>
  <si>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</si>
  <si>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</si>
  <si>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</si>
  <si>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</si>
  <si>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</si>
  <si>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</si>
  <si>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</si>
  <si>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</si>
  <si>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</si>
  <si>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</si>
  <si>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</si>
  <si>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</si>
  <si>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</si>
  <si>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</si>
  <si>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</si>
  <si>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</si>
  <si>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</si>
  <si>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</si>
  <si>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</si>
  <si>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</si>
  <si>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</si>
  <si>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</si>
  <si>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</si>
  <si>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</si>
  <si>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</si>
  <si>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</si>
  <si>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</si>
  <si>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</si>
  <si>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</si>
  <si>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</si>
  <si>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</si>
  <si>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</si>
  <si>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</si>
  <si>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</si>
  <si>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</si>
  <si>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</si>
  <si>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</si>
  <si>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</si>
  <si>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</si>
  <si>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</si>
  <si>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</si>
  <si>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</si>
  <si>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</si>
  <si>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</si>
  <si>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</si>
  <si>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</si>
  <si>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</si>
  <si>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</si>
  <si>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</si>
  <si>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</si>
  <si>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</si>
  <si>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</si>
  <si>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</si>
  <si>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</si>
  <si>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</si>
  <si>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</si>
  <si>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</si>
  <si>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</si>
  <si>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</si>
  <si>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</si>
  <si>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</si>
  <si>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</si>
  <si>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</si>
  <si>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</si>
  <si>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</si>
  <si>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</si>
  <si>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</si>
  <si>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</si>
  <si>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</si>
  <si>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</si>
  <si>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</si>
  <si>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</si>
  <si>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</si>
  <si>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</si>
  <si>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</si>
  <si>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</si>
  <si>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</si>
  <si>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</si>
  <si>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</si>
  <si>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</si>
  <si>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</si>
  <si>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</si>
  <si>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</si>
  <si>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</si>
  <si>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</si>
  <si>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</si>
  <si>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</si>
  <si>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</si>
  <si>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</si>
  <si>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</si>
  <si>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</si>
  <si>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</si>
  <si>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</si>
  <si>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</si>
  <si>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</si>
  <si>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</si>
  <si>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</si>
  <si>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</si>
  <si>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</si>
  <si>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</si>
  <si>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</si>
  <si>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</si>
  <si>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</si>
  <si>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</si>
  <si>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</si>
  <si>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</si>
  <si>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</si>
  <si>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</si>
  <si>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</si>
  <si>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</si>
  <si>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</si>
  <si>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</si>
  <si>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</si>
  <si>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</si>
  <si>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</si>
  <si>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</si>
  <si>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</si>
  <si>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</si>
  <si>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</si>
  <si>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</si>
  <si>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</si>
  <si>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</si>
  <si>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</si>
  <si>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</si>
  <si>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</si>
  <si>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</si>
  <si>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</si>
  <si>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</si>
  <si>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</si>
  <si>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</si>
  <si>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</si>
  <si>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</si>
  <si>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</si>
  <si>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</si>
  <si>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</si>
  <si>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</si>
  <si>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</si>
  <si>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</si>
  <si>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</si>
  <si>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</si>
  <si>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</si>
  <si>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</si>
  <si>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</si>
  <si>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</si>
  <si>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</si>
  <si>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</si>
  <si>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</si>
  <si>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</si>
  <si>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</si>
  <si>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</si>
  <si>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</si>
  <si>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</si>
  <si>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</si>
  <si>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</si>
  <si>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</si>
  <si>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</si>
  <si>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</si>
  <si>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</si>
  <si>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</si>
  <si>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</si>
  <si>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</si>
  <si>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</si>
  <si>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</si>
  <si>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</si>
  <si>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</si>
  <si>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</si>
  <si>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</si>
  <si>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</si>
  <si>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</si>
  <si>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</si>
  <si>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</si>
  <si>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</si>
  <si>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</si>
  <si>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</si>
  <si>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</si>
  <si>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</si>
  <si>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</si>
  <si>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</si>
  <si>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</si>
  <si>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</si>
  <si>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</si>
  <si>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</si>
  <si>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</si>
  <si>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</si>
  <si>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</si>
  <si>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</si>
  <si>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</si>
  <si>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</si>
  <si>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</si>
  <si>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</si>
  <si>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</si>
  <si>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</si>
  <si>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</si>
  <si>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</si>
  <si>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</si>
  <si>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</si>
  <si>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</si>
  <si>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</si>
  <si>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</si>
  <si>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</si>
  <si>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</si>
  <si>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</si>
  <si>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</si>
  <si>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</si>
  <si>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</si>
  <si>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</si>
  <si>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</si>
  <si>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</si>
  <si>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</si>
  <si>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</si>
  <si>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</si>
  <si>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</si>
  <si>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</si>
  <si>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</si>
  <si>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</si>
  <si>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</si>
  <si>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</si>
  <si>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</si>
  <si>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</si>
  <si>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</si>
  <si>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</si>
  <si>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</si>
  <si>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</si>
  <si>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</si>
  <si>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</si>
  <si>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</si>
  <si>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</si>
  <si>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</si>
  <si>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</si>
  <si>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</si>
  <si>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</si>
  <si>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</si>
  <si>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</si>
  <si>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</si>
  <si>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</si>
  <si>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</si>
  <si>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</si>
  <si>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</si>
  <si>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</si>
  <si>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</si>
  <si>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</si>
  <si>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</si>
  <si>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</si>
  <si>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</si>
  <si>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</si>
  <si>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</si>
  <si>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</si>
  <si>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</si>
  <si>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</si>
  <si>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</si>
  <si>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</si>
  <si>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</si>
  <si>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</si>
  <si>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</si>
  <si>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</si>
  <si>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</si>
  <si>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</si>
  <si>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</si>
  <si>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</si>
  <si>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</si>
  <si>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</si>
  <si>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</si>
  <si>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</si>
  <si>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</si>
  <si>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</si>
  <si>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</si>
  <si>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</si>
  <si>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</si>
  <si>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</si>
  <si>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</si>
  <si>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</si>
  <si>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</si>
  <si>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</si>
  <si>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</si>
  <si>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</si>
  <si>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</si>
  <si>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</si>
  <si>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</si>
  <si>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</si>
  <si>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</si>
  <si>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</si>
  <si>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</si>
  <si>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</si>
  <si>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</si>
  <si>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</si>
  <si>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</si>
  <si>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</si>
  <si>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</si>
  <si>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</si>
  <si>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</si>
  <si>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</si>
  <si>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</si>
  <si>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</si>
  <si>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</si>
  <si>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</si>
  <si>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</si>
  <si>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</si>
  <si>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</si>
  <si>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</si>
  <si>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</si>
  <si>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</si>
  <si>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</si>
  <si>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</si>
  <si>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</si>
  <si>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</si>
  <si>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</si>
  <si>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</si>
  <si>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</si>
  <si>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</si>
  <si>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</si>
  <si>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</si>
  <si>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</si>
  <si>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</si>
  <si>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</si>
  <si>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</si>
  <si>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</si>
  <si>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</si>
  <si>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</si>
  <si>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</si>
  <si>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</si>
  <si>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</si>
  <si>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</si>
  <si>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</si>
  <si>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</si>
  <si>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</si>
  <si>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</si>
  <si>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</si>
  <si>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</si>
  <si>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</si>
  <si>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</si>
  <si>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</si>
  <si>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</si>
  <si>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</si>
  <si>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</si>
  <si>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</si>
  <si>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</si>
  <si>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</si>
  <si>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</si>
  <si>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</si>
  <si>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</si>
  <si>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</si>
  <si>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</si>
  <si>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</si>
  <si>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</si>
  <si>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</si>
  <si>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</si>
  <si>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</si>
  <si>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</si>
  <si>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</si>
  <si>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</si>
  <si>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</si>
  <si>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</si>
  <si>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</si>
  <si>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</si>
  <si>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</si>
  <si>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</si>
  <si>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</si>
  <si>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</si>
  <si>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</si>
  <si>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</si>
  <si>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</si>
  <si>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</si>
  <si>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</si>
  <si>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</si>
  <si>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</si>
  <si>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</si>
  <si>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</si>
  <si>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</si>
  <si>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</si>
  <si>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</si>
  <si>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</si>
  <si>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</si>
  <si>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</si>
  <si>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</si>
  <si>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</si>
  <si>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</si>
  <si>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</si>
  <si>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</si>
  <si>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</si>
  <si>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</si>
  <si>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</si>
  <si>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</si>
  <si>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</si>
  <si>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</si>
  <si>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</si>
  <si>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</si>
  <si>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</si>
  <si>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</si>
  <si>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</si>
  <si>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</si>
  <si>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</si>
  <si>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</si>
  <si>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</si>
  <si>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</si>
  <si>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</si>
  <si>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</si>
  <si>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</si>
  <si>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</si>
  <si>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</si>
  <si>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</si>
  <si>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</si>
  <si>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</si>
  <si>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</si>
  <si>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</si>
  <si>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</si>
  <si>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</si>
  <si>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</si>
  <si>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</si>
  <si>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</si>
  <si>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</si>
  <si>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</si>
  <si>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</si>
  <si>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</si>
  <si>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</si>
  <si>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</si>
  <si>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</si>
  <si>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</si>
  <si>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</si>
  <si>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</si>
  <si>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</si>
  <si>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</si>
  <si>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</si>
  <si>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</si>
  <si>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</si>
  <si>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</si>
  <si>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</si>
  <si>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</si>
  <si>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</si>
  <si>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</si>
  <si>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</si>
  <si>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</si>
  <si>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</si>
  <si>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</si>
  <si>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</si>
  <si>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</si>
  <si>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</si>
  <si>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</si>
  <si>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</si>
  <si>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</si>
  <si>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</si>
  <si>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</si>
  <si>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</si>
  <si>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</si>
  <si>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</si>
  <si>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</si>
  <si>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</si>
  <si>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</si>
  <si>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</si>
  <si>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</si>
  <si>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</si>
  <si>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</si>
  <si>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</si>
  <si>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</si>
  <si>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</si>
  <si>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</si>
  <si>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</si>
  <si>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</si>
  <si>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</si>
  <si>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</si>
  <si>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</si>
  <si>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</si>
  <si>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</si>
  <si>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</si>
  <si>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</si>
  <si>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</si>
  <si>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</si>
  <si>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</si>
  <si>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</si>
  <si>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</si>
  <si>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</si>
  <si>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</si>
  <si>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</si>
  <si>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</si>
  <si>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</si>
  <si>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</si>
  <si>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</si>
  <si>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</si>
  <si>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</si>
  <si>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</si>
  <si>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</si>
  <si>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</si>
  <si>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</si>
  <si>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</si>
  <si>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</si>
  <si>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</si>
  <si>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</si>
  <si>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</si>
  <si>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</si>
  <si>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</si>
  <si>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</si>
  <si>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</si>
  <si>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</si>
  <si>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</si>
  <si>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</si>
  <si>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</si>
  <si>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</si>
  <si>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</si>
  <si>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</si>
  <si>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</si>
  <si>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</si>
  <si>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</si>
  <si>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</si>
  <si>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</si>
  <si>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</si>
  <si>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</si>
  <si>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</si>
  <si>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</si>
  <si>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</si>
  <si>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</si>
  <si>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</si>
  <si>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</si>
  <si>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</si>
  <si>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</si>
  <si>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</si>
  <si>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</si>
  <si>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</si>
  <si>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</si>
  <si>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</si>
  <si>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</si>
  <si>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</si>
  <si>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</si>
  <si>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</si>
  <si>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</si>
  <si>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</si>
  <si>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</si>
  <si>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</si>
  <si>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</si>
  <si>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</si>
  <si>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</si>
  <si>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</si>
  <si>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</si>
  <si>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</si>
  <si>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</si>
  <si>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</si>
  <si>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</si>
  <si>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</si>
  <si>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</si>
  <si>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</si>
  <si>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</si>
  <si>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</si>
  <si>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</si>
  <si>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</si>
  <si>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</si>
  <si>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</si>
  <si>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</si>
  <si>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</si>
  <si>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</si>
  <si>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</si>
  <si>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</si>
  <si>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</si>
  <si>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</si>
  <si>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</si>
  <si>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</si>
  <si>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</si>
  <si>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</si>
  <si>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</si>
  <si>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</si>
  <si>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</si>
  <si>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</si>
  <si>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</si>
  <si>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</si>
  <si>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</si>
  <si>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</si>
  <si>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</si>
  <si>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</si>
  <si>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</si>
  <si>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</si>
  <si>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</si>
  <si>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</si>
  <si>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</si>
  <si>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</si>
  <si>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</si>
  <si>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</si>
  <si>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</si>
  <si>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</si>
  <si>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</si>
  <si>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</si>
  <si>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</si>
  <si>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</si>
  <si>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</si>
  <si>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</si>
  <si>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</si>
  <si>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</si>
  <si>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</si>
  <si>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</si>
  <si>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</si>
  <si>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</si>
  <si>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</si>
  <si>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</si>
  <si>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</si>
  <si>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</si>
  <si>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</si>
  <si>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</si>
  <si>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</si>
  <si>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</si>
  <si>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</si>
  <si>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</si>
  <si>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</si>
  <si>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</si>
  <si>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</si>
  <si>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</si>
  <si>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</si>
  <si>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</si>
  <si>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</si>
  <si>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</si>
  <si>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</si>
  <si>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</si>
  <si>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</si>
  <si>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</si>
  <si>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</si>
  <si>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</si>
  <si>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</si>
  <si>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</si>
  <si>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</si>
  <si>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</si>
  <si>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</si>
  <si>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</si>
  <si>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</si>
  <si>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</si>
  <si>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</si>
  <si>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</si>
  <si>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</si>
  <si>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</si>
  <si>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</si>
  <si>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</si>
  <si>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</si>
  <si>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</si>
  <si>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</si>
  <si>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</si>
  <si>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</si>
  <si>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</si>
  <si>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</si>
  <si>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</si>
  <si>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</si>
  <si>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</si>
  <si>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</si>
  <si>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</si>
  <si>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</si>
  <si>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</si>
  <si>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</si>
  <si>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</si>
  <si>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</si>
  <si>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</si>
  <si>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</si>
  <si>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</si>
  <si>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</si>
  <si>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</si>
  <si>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</si>
  <si>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</si>
  <si>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</si>
  <si>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</si>
  <si>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</si>
  <si>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</si>
  <si>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</si>
  <si>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</si>
  <si>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</si>
  <si>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</si>
  <si>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</si>
  <si>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</si>
  <si>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</si>
  <si>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</si>
  <si>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</si>
  <si>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</si>
  <si>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</si>
  <si>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</si>
  <si>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</si>
  <si>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</si>
  <si>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</si>
  <si>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</si>
  <si>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</si>
  <si>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</si>
  <si>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</si>
  <si>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</si>
  <si>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</si>
  <si>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</si>
  <si>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</si>
  <si>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</si>
  <si>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</si>
  <si>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</si>
  <si>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</si>
  <si>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</si>
  <si>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</si>
  <si>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</si>
  <si>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</si>
  <si>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</si>
  <si>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</si>
  <si>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</si>
  <si>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</si>
  <si>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</si>
  <si>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</si>
  <si>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</si>
  <si>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</si>
  <si>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</si>
  <si>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</si>
  <si>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</si>
  <si>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</si>
  <si>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</si>
  <si>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</si>
  <si>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</si>
  <si>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</si>
  <si>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</si>
  <si>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</si>
  <si>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</si>
  <si>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</si>
  <si>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</si>
  <si>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</si>
  <si>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</si>
  <si>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</si>
  <si>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</si>
  <si>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</si>
  <si>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</si>
  <si>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</si>
  <si>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</si>
  <si>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</si>
  <si>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</si>
  <si>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</si>
  <si>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</si>
  <si>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</si>
  <si>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</si>
  <si>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</si>
  <si>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</si>
  <si>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</si>
  <si>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</si>
  <si>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</si>
  <si>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</si>
  <si>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</si>
  <si>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</si>
  <si>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</si>
  <si>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</si>
  <si>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</si>
  <si>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</si>
  <si>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</si>
  <si>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</si>
  <si>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</si>
  <si>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</si>
  <si>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</si>
  <si>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</si>
  <si>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</si>
  <si>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</si>
  <si>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</si>
  <si>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</si>
  <si>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</si>
  <si>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</si>
  <si>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</si>
  <si>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</si>
  <si>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</si>
  <si>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</si>
  <si>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</si>
  <si>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</si>
  <si>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</si>
  <si>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</si>
  <si>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</si>
  <si>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</si>
  <si>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</si>
  <si>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</si>
  <si>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</si>
  <si>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</si>
  <si>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</si>
  <si>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</si>
  <si>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</si>
  <si>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</si>
  <si>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</si>
  <si>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</si>
  <si>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</si>
  <si>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</si>
  <si>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</si>
  <si>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</si>
  <si>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</si>
  <si>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</si>
  <si>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</si>
  <si>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</si>
  <si>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</si>
  <si>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</si>
  <si>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</si>
  <si>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</si>
  <si>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</si>
  <si>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</si>
  <si>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</si>
  <si>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</si>
  <si>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</si>
  <si>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</si>
  <si>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</si>
  <si>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</si>
  <si>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</si>
  <si>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</si>
  <si>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</si>
  <si>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</si>
  <si>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</si>
  <si>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</si>
  <si>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</si>
  <si>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</si>
  <si>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</si>
  <si>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</si>
  <si>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</si>
  <si>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</si>
  <si>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</si>
  <si>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</si>
  <si>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</si>
  <si>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</si>
  <si>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</si>
  <si>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</si>
  <si>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</si>
  <si>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</si>
  <si>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</si>
  <si>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</si>
  <si>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</si>
  <si>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</si>
  <si>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</si>
  <si>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</si>
  <si>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</si>
  <si>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</si>
  <si>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</si>
  <si>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</si>
  <si>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</si>
  <si>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</si>
  <si>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</si>
  <si>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</si>
  <si>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</si>
  <si>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</si>
  <si>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</si>
  <si>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</si>
  <si>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</si>
  <si>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</si>
  <si>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</si>
  <si>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</si>
  <si>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</si>
  <si>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42004</t>
  </si>
  <si>
    <t>BUGGENHOUT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</si>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</sst>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FC2366D-4327-471B-A088-E87E3386A9F9}"/>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125962.26260059948</c:v>
                </c:pt>
                <c:pt idx="1">
                  <c:v>57329.813926386661</c:v>
                </c:pt>
                <c:pt idx="2">
                  <c:v>883.11800000000005</c:v>
                </c:pt>
                <c:pt idx="3">
                  <c:v>3322.2295200621984</c:v>
                </c:pt>
                <c:pt idx="4">
                  <c:v>100605.72299904736</c:v>
                </c:pt>
                <c:pt idx="5">
                  <c:v>78222.125240030786</c:v>
                </c:pt>
                <c:pt idx="6">
                  <c:v>450.03897035217346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125962.26260059948</c:v>
                </c:pt>
                <c:pt idx="1">
                  <c:v>57329.813926386661</c:v>
                </c:pt>
                <c:pt idx="2">
                  <c:v>883.11800000000005</c:v>
                </c:pt>
                <c:pt idx="3">
                  <c:v>3322.2295200621984</c:v>
                </c:pt>
                <c:pt idx="4">
                  <c:v>100605.72299904736</c:v>
                </c:pt>
                <c:pt idx="5">
                  <c:v>78222.125240030786</c:v>
                </c:pt>
                <c:pt idx="6">
                  <c:v>450.03897035217346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26970.703659951112</c:v>
                </c:pt>
                <c:pt idx="2">
                  <c:v>11318.604142442311</c:v>
                </c:pt>
                <c:pt idx="3">
                  <c:v>183.67628738440183</c:v>
                </c:pt>
                <c:pt idx="4">
                  <c:v>829.74516760770291</c:v>
                </c:pt>
                <c:pt idx="5">
                  <c:v>21002.567680174419</c:v>
                </c:pt>
                <c:pt idx="6">
                  <c:v>19579.956682960699</c:v>
                </c:pt>
                <c:pt idx="7">
                  <c:v>113.52015561721204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26970.703659951112</c:v>
                </c:pt>
                <c:pt idx="2">
                  <c:v>11318.604142442311</c:v>
                </c:pt>
                <c:pt idx="3">
                  <c:v>183.67628738440183</c:v>
                </c:pt>
                <c:pt idx="4">
                  <c:v>829.74516760770291</c:v>
                </c:pt>
                <c:pt idx="5">
                  <c:v>21002.567680174419</c:v>
                </c:pt>
                <c:pt idx="6">
                  <c:v>19579.956682960699</c:v>
                </c:pt>
                <c:pt idx="7">
                  <c:v>113.52015561721204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42004</v>
      </c>
      <c r="B6" s="381"/>
      <c r="C6" s="382"/>
    </row>
    <row r="7" spans="1:7" s="379" customFormat="1" ht="15.75" customHeight="1">
      <c r="A7" s="383" t="str">
        <f>txtMunicipality</f>
        <v>BUGGENHOUT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0.20798612120283114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0.20798612120283114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5908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1128</v>
      </c>
      <c r="C14" s="322"/>
      <c r="D14" s="322"/>
      <c r="E14" s="322"/>
      <c r="F14" s="322"/>
    </row>
    <row r="15" spans="1:6">
      <c r="A15" s="1261" t="s">
        <v>177</v>
      </c>
      <c r="B15" s="1262">
        <v>12</v>
      </c>
      <c r="C15" s="322"/>
      <c r="D15" s="322"/>
      <c r="E15" s="322"/>
      <c r="F15" s="322"/>
    </row>
    <row r="16" spans="1:6">
      <c r="A16" s="1261" t="s">
        <v>6</v>
      </c>
      <c r="B16" s="1262">
        <v>562</v>
      </c>
      <c r="C16" s="322"/>
      <c r="D16" s="322"/>
      <c r="E16" s="322"/>
      <c r="F16" s="322"/>
    </row>
    <row r="17" spans="1:6">
      <c r="A17" s="1261" t="s">
        <v>7</v>
      </c>
      <c r="B17" s="1262">
        <v>185</v>
      </c>
      <c r="C17" s="322"/>
      <c r="D17" s="322"/>
      <c r="E17" s="322"/>
      <c r="F17" s="322"/>
    </row>
    <row r="18" spans="1:6">
      <c r="A18" s="1261" t="s">
        <v>8</v>
      </c>
      <c r="B18" s="1262">
        <v>473</v>
      </c>
      <c r="C18" s="322"/>
      <c r="D18" s="322"/>
      <c r="E18" s="322"/>
      <c r="F18" s="322"/>
    </row>
    <row r="19" spans="1:6">
      <c r="A19" s="1261" t="s">
        <v>9</v>
      </c>
      <c r="B19" s="1262">
        <v>507</v>
      </c>
      <c r="C19" s="322"/>
      <c r="D19" s="322"/>
      <c r="E19" s="322"/>
      <c r="F19" s="322"/>
    </row>
    <row r="20" spans="1:6">
      <c r="A20" s="1261" t="s">
        <v>10</v>
      </c>
      <c r="B20" s="1262">
        <v>261</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2</v>
      </c>
      <c r="C27" s="322"/>
      <c r="D27" s="322"/>
      <c r="E27" s="322"/>
      <c r="F27" s="322"/>
    </row>
    <row r="28" spans="1:6">
      <c r="A28" s="1261" t="s">
        <v>18</v>
      </c>
      <c r="B28" s="1263">
        <v>3801</v>
      </c>
      <c r="C28" s="322"/>
      <c r="D28" s="322"/>
      <c r="E28" s="322"/>
      <c r="F28" s="322"/>
    </row>
    <row r="29" spans="1:6">
      <c r="A29" s="1261" t="s">
        <v>901</v>
      </c>
      <c r="B29" s="1263">
        <v>80</v>
      </c>
      <c r="C29" s="322"/>
      <c r="D29" s="322"/>
      <c r="E29" s="322"/>
      <c r="F29" s="322"/>
    </row>
    <row r="30" spans="1:6">
      <c r="A30" s="1256" t="s">
        <v>902</v>
      </c>
      <c r="B30" s="1264">
        <v>18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3404</v>
      </c>
      <c r="D39" s="1262">
        <v>50980341.084732696</v>
      </c>
      <c r="E39" s="1262">
        <v>5745</v>
      </c>
      <c r="F39" s="1262">
        <v>25075242</v>
      </c>
    </row>
    <row r="40" spans="1:6">
      <c r="A40" s="1261" t="s">
        <v>29</v>
      </c>
      <c r="B40" s="1261" t="s">
        <v>28</v>
      </c>
      <c r="C40" s="1262">
        <v>0</v>
      </c>
      <c r="D40" s="1262">
        <v>0</v>
      </c>
      <c r="E40" s="1262">
        <v>0</v>
      </c>
      <c r="F40" s="1262">
        <v>0</v>
      </c>
    </row>
    <row r="41" spans="1:6">
      <c r="A41" s="1261" t="s">
        <v>31</v>
      </c>
      <c r="B41" s="1261" t="s">
        <v>32</v>
      </c>
      <c r="C41" s="1262">
        <v>35</v>
      </c>
      <c r="D41" s="1262">
        <v>709120.33180705202</v>
      </c>
      <c r="E41" s="1262">
        <v>83</v>
      </c>
      <c r="F41" s="1262">
        <v>695757.6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5</v>
      </c>
      <c r="D44" s="1262">
        <v>169365.923788007</v>
      </c>
      <c r="E44" s="1262">
        <v>9</v>
      </c>
      <c r="F44" s="1262">
        <v>243919.1</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450557.57130909601</v>
      </c>
      <c r="E47" s="1262">
        <v>0</v>
      </c>
      <c r="F47" s="1262">
        <v>0</v>
      </c>
    </row>
    <row r="48" spans="1:6">
      <c r="A48" s="1261" t="s">
        <v>31</v>
      </c>
      <c r="B48" s="1261" t="s">
        <v>28</v>
      </c>
      <c r="C48" s="1262">
        <v>24</v>
      </c>
      <c r="D48" s="1262">
        <v>23272064.7009506</v>
      </c>
      <c r="E48" s="1262">
        <v>37</v>
      </c>
      <c r="F48" s="1262">
        <v>44626438</v>
      </c>
    </row>
    <row r="49" spans="1:6">
      <c r="A49" s="1261" t="s">
        <v>31</v>
      </c>
      <c r="B49" s="1261" t="s">
        <v>39</v>
      </c>
      <c r="C49" s="1262">
        <v>0</v>
      </c>
      <c r="D49" s="1262">
        <v>0</v>
      </c>
      <c r="E49" s="1262">
        <v>3</v>
      </c>
      <c r="F49" s="1262">
        <v>4837809</v>
      </c>
    </row>
    <row r="50" spans="1:6">
      <c r="A50" s="1261" t="s">
        <v>31</v>
      </c>
      <c r="B50" s="1261" t="s">
        <v>40</v>
      </c>
      <c r="C50" s="1262">
        <v>8</v>
      </c>
      <c r="D50" s="1262">
        <v>652417.47313545796</v>
      </c>
      <c r="E50" s="1262">
        <v>20</v>
      </c>
      <c r="F50" s="1262">
        <v>3247187</v>
      </c>
    </row>
    <row r="51" spans="1:6">
      <c r="A51" s="1261" t="s">
        <v>41</v>
      </c>
      <c r="B51" s="1261" t="s">
        <v>42</v>
      </c>
      <c r="C51" s="1262">
        <v>4</v>
      </c>
      <c r="D51" s="1262">
        <v>204461.320231024</v>
      </c>
      <c r="E51" s="1262">
        <v>36</v>
      </c>
      <c r="F51" s="1262">
        <v>584155.69999999995</v>
      </c>
    </row>
    <row r="52" spans="1:6">
      <c r="A52" s="1261" t="s">
        <v>41</v>
      </c>
      <c r="B52" s="1261" t="s">
        <v>28</v>
      </c>
      <c r="C52" s="1262">
        <v>8</v>
      </c>
      <c r="D52" s="1262">
        <v>172136.52170833599</v>
      </c>
      <c r="E52" s="1262">
        <v>8</v>
      </c>
      <c r="F52" s="1262">
        <v>99681.58</v>
      </c>
    </row>
    <row r="53" spans="1:6">
      <c r="A53" s="1261" t="s">
        <v>43</v>
      </c>
      <c r="B53" s="1261" t="s">
        <v>44</v>
      </c>
      <c r="C53" s="1262">
        <v>64</v>
      </c>
      <c r="D53" s="1262">
        <v>1348273.4440886099</v>
      </c>
      <c r="E53" s="1262">
        <v>240</v>
      </c>
      <c r="F53" s="1262">
        <v>2146676</v>
      </c>
    </row>
    <row r="54" spans="1:6">
      <c r="A54" s="1261" t="s">
        <v>45</v>
      </c>
      <c r="B54" s="1261" t="s">
        <v>46</v>
      </c>
      <c r="C54" s="1262">
        <v>0</v>
      </c>
      <c r="D54" s="1262">
        <v>0</v>
      </c>
      <c r="E54" s="1262">
        <v>1</v>
      </c>
      <c r="F54" s="1262">
        <v>883118</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24</v>
      </c>
      <c r="D57" s="1262">
        <v>927578.65111688001</v>
      </c>
      <c r="E57" s="1262">
        <v>52</v>
      </c>
      <c r="F57" s="1262">
        <v>11497189</v>
      </c>
    </row>
    <row r="58" spans="1:6">
      <c r="A58" s="1261" t="s">
        <v>48</v>
      </c>
      <c r="B58" s="1261" t="s">
        <v>50</v>
      </c>
      <c r="C58" s="1262">
        <v>22</v>
      </c>
      <c r="D58" s="1262">
        <v>773845.78863372898</v>
      </c>
      <c r="E58" s="1262">
        <v>27</v>
      </c>
      <c r="F58" s="1262">
        <v>224172.1</v>
      </c>
    </row>
    <row r="59" spans="1:6">
      <c r="A59" s="1261" t="s">
        <v>48</v>
      </c>
      <c r="B59" s="1261" t="s">
        <v>51</v>
      </c>
      <c r="C59" s="1262">
        <v>51</v>
      </c>
      <c r="D59" s="1262">
        <v>1831467.0567562699</v>
      </c>
      <c r="E59" s="1262">
        <v>124</v>
      </c>
      <c r="F59" s="1262">
        <v>3232493</v>
      </c>
    </row>
    <row r="60" spans="1:6">
      <c r="A60" s="1261" t="s">
        <v>48</v>
      </c>
      <c r="B60" s="1261" t="s">
        <v>52</v>
      </c>
      <c r="C60" s="1262">
        <v>47</v>
      </c>
      <c r="D60" s="1262">
        <v>2825171.3491739701</v>
      </c>
      <c r="E60" s="1262">
        <v>59</v>
      </c>
      <c r="F60" s="1262">
        <v>1396346</v>
      </c>
    </row>
    <row r="61" spans="1:6">
      <c r="A61" s="1261" t="s">
        <v>48</v>
      </c>
      <c r="B61" s="1261" t="s">
        <v>53</v>
      </c>
      <c r="C61" s="1262">
        <v>84</v>
      </c>
      <c r="D61" s="1262">
        <v>4612285.59205392</v>
      </c>
      <c r="E61" s="1262">
        <v>142</v>
      </c>
      <c r="F61" s="1262">
        <v>1722650</v>
      </c>
    </row>
    <row r="62" spans="1:6">
      <c r="A62" s="1261" t="s">
        <v>48</v>
      </c>
      <c r="B62" s="1261" t="s">
        <v>54</v>
      </c>
      <c r="C62" s="1262">
        <v>15</v>
      </c>
      <c r="D62" s="1262">
        <v>1356888.8252226801</v>
      </c>
      <c r="E62" s="1262">
        <v>8</v>
      </c>
      <c r="F62" s="1262">
        <v>56433.99</v>
      </c>
    </row>
    <row r="63" spans="1:6">
      <c r="A63" s="1261" t="s">
        <v>48</v>
      </c>
      <c r="B63" s="1261" t="s">
        <v>28</v>
      </c>
      <c r="C63" s="1262">
        <v>79</v>
      </c>
      <c r="D63" s="1262">
        <v>3535022.89409849</v>
      </c>
      <c r="E63" s="1262">
        <v>89</v>
      </c>
      <c r="F63" s="1262">
        <v>8480005</v>
      </c>
    </row>
    <row r="64" spans="1:6">
      <c r="A64" s="1261" t="s">
        <v>55</v>
      </c>
      <c r="B64" s="1261" t="s">
        <v>56</v>
      </c>
      <c r="C64" s="1262">
        <v>0</v>
      </c>
      <c r="D64" s="1262">
        <v>0</v>
      </c>
      <c r="E64" s="1262">
        <v>0</v>
      </c>
      <c r="F64" s="1262">
        <v>0</v>
      </c>
    </row>
    <row r="65" spans="1:6">
      <c r="A65" s="1261" t="s">
        <v>55</v>
      </c>
      <c r="B65" s="1261" t="s">
        <v>28</v>
      </c>
      <c r="C65" s="1262">
        <v>2</v>
      </c>
      <c r="D65" s="1262">
        <v>41072.803494050699</v>
      </c>
      <c r="E65" s="1262">
        <v>5</v>
      </c>
      <c r="F65" s="1262">
        <v>30938.720000000001</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4</v>
      </c>
      <c r="D68" s="1264">
        <v>55145.696068197998</v>
      </c>
      <c r="E68" s="1264">
        <v>12</v>
      </c>
      <c r="F68" s="1264">
        <v>168023.5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25037948</v>
      </c>
      <c r="E73" s="440"/>
      <c r="F73" s="322"/>
    </row>
    <row r="74" spans="1:6">
      <c r="A74" s="1261" t="s">
        <v>63</v>
      </c>
      <c r="B74" s="1261" t="s">
        <v>670</v>
      </c>
      <c r="C74" s="1274" t="s">
        <v>672</v>
      </c>
      <c r="D74" s="1262">
        <v>2215621.6011348707</v>
      </c>
      <c r="E74" s="440"/>
      <c r="F74" s="322"/>
    </row>
    <row r="75" spans="1:6">
      <c r="A75" s="1261" t="s">
        <v>64</v>
      </c>
      <c r="B75" s="1261" t="s">
        <v>669</v>
      </c>
      <c r="C75" s="1274" t="s">
        <v>673</v>
      </c>
      <c r="D75" s="1262">
        <v>53830393</v>
      </c>
      <c r="E75" s="440"/>
      <c r="F75" s="322"/>
    </row>
    <row r="76" spans="1:6">
      <c r="A76" s="1261" t="s">
        <v>64</v>
      </c>
      <c r="B76" s="1261" t="s">
        <v>670</v>
      </c>
      <c r="C76" s="1274" t="s">
        <v>674</v>
      </c>
      <c r="D76" s="1262">
        <v>1987127.6011348707</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120872.79773025859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2943.0860205061831</v>
      </c>
      <c r="C91" s="322"/>
      <c r="D91" s="322"/>
      <c r="E91" s="322"/>
      <c r="F91" s="322"/>
    </row>
    <row r="92" spans="1:6">
      <c r="A92" s="1256" t="s">
        <v>68</v>
      </c>
      <c r="B92" s="1257">
        <v>3652.5438993192406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1616</v>
      </c>
      <c r="C97" s="322"/>
      <c r="D97" s="322"/>
      <c r="E97" s="322"/>
      <c r="F97" s="322"/>
    </row>
    <row r="98" spans="1:6">
      <c r="A98" s="1261" t="s">
        <v>71</v>
      </c>
      <c r="B98" s="1262">
        <v>1</v>
      </c>
      <c r="C98" s="322"/>
      <c r="D98" s="322"/>
      <c r="E98" s="322"/>
      <c r="F98" s="322"/>
    </row>
    <row r="99" spans="1:6">
      <c r="A99" s="1261" t="s">
        <v>72</v>
      </c>
      <c r="B99" s="1262">
        <v>67</v>
      </c>
      <c r="C99" s="322"/>
      <c r="D99" s="322"/>
      <c r="E99" s="322"/>
      <c r="F99" s="322"/>
    </row>
    <row r="100" spans="1:6">
      <c r="A100" s="1261" t="s">
        <v>73</v>
      </c>
      <c r="B100" s="1262">
        <v>590</v>
      </c>
      <c r="C100" s="322"/>
      <c r="D100" s="322"/>
      <c r="E100" s="322"/>
      <c r="F100" s="322"/>
    </row>
    <row r="101" spans="1:6">
      <c r="A101" s="1261" t="s">
        <v>74</v>
      </c>
      <c r="B101" s="1262">
        <v>59</v>
      </c>
      <c r="C101" s="322"/>
      <c r="D101" s="322"/>
      <c r="E101" s="322"/>
      <c r="F101" s="322"/>
    </row>
    <row r="102" spans="1:6">
      <c r="A102" s="1261" t="s">
        <v>75</v>
      </c>
      <c r="B102" s="1262">
        <v>94</v>
      </c>
      <c r="C102" s="322"/>
      <c r="D102" s="322"/>
      <c r="E102" s="322"/>
      <c r="F102" s="322"/>
    </row>
    <row r="103" spans="1:6">
      <c r="A103" s="1261" t="s">
        <v>76</v>
      </c>
      <c r="B103" s="1262">
        <v>177</v>
      </c>
      <c r="C103" s="322"/>
      <c r="D103" s="322"/>
      <c r="E103" s="322"/>
      <c r="F103" s="322"/>
    </row>
    <row r="104" spans="1:6">
      <c r="A104" s="1261" t="s">
        <v>77</v>
      </c>
      <c r="B104" s="1262">
        <v>2731</v>
      </c>
      <c r="C104" s="322"/>
      <c r="D104" s="322"/>
      <c r="E104" s="322"/>
      <c r="F104" s="322"/>
    </row>
    <row r="105" spans="1:6">
      <c r="A105" s="1256" t="s">
        <v>78</v>
      </c>
      <c r="B105" s="1264">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18</v>
      </c>
      <c r="C123" s="1262">
        <v>9</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104</v>
      </c>
      <c r="C129" s="322"/>
      <c r="D129" s="322"/>
      <c r="E129" s="322"/>
      <c r="F129" s="322"/>
    </row>
    <row r="130" spans="1:6">
      <c r="A130" s="1261" t="s">
        <v>284</v>
      </c>
      <c r="B130" s="1262">
        <v>1</v>
      </c>
      <c r="C130" s="322"/>
      <c r="D130" s="322"/>
      <c r="E130" s="322"/>
      <c r="F130" s="322"/>
    </row>
    <row r="131" spans="1:6">
      <c r="A131" s="1261" t="s">
        <v>285</v>
      </c>
      <c r="B131" s="1262">
        <v>5</v>
      </c>
      <c r="C131" s="322"/>
      <c r="D131" s="322"/>
      <c r="E131" s="322"/>
      <c r="F131" s="322"/>
    </row>
    <row r="132" spans="1:6">
      <c r="A132" s="1256" t="s">
        <v>286</v>
      </c>
      <c r="B132" s="1257">
        <v>13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112006.13091605889</v>
      </c>
      <c r="C3" s="43" t="s">
        <v>163</v>
      </c>
      <c r="D3" s="43"/>
      <c r="E3" s="153"/>
      <c r="F3" s="43"/>
      <c r="G3" s="43"/>
      <c r="H3" s="43"/>
      <c r="I3" s="43"/>
      <c r="J3" s="43"/>
      <c r="K3" s="96"/>
    </row>
    <row r="4" spans="1:11">
      <c r="A4" s="349" t="s">
        <v>164</v>
      </c>
      <c r="B4" s="49">
        <f>IF(ISERROR('SEAP template'!B78+'SEAP template'!C78),0,'SEAP template'!B78+'SEAP template'!C78)</f>
        <v>6595.6299198254237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0.20798612120283114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883.11800000000005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883.11800000000005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0.20798612120283114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183.67628738440183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25075.241999999998</v>
      </c>
      <c r="C5" s="17">
        <f>IF(ISERROR('Eigen informatie GS &amp; warmtenet'!B57),0,'Eigen informatie GS &amp; warmtenet'!B57)</f>
        <v>0</v>
      </c>
      <c r="D5" s="30">
        <f>(SUM(HH_hh_gas_kWh,HH_rest_gas_kWh)/1000)*0.902</f>
        <v>45984.267658428893</v>
      </c>
      <c r="E5" s="17">
        <f>B32*B41</f>
        <v>1330.4002586631079</v>
      </c>
      <c r="F5" s="17">
        <f>B36*B45</f>
        <v>41969.977571062358</v>
      </c>
      <c r="G5" s="18"/>
      <c r="H5" s="17"/>
      <c r="I5" s="17"/>
      <c r="J5" s="17">
        <f>B35*B44+C35*C44</f>
        <v>978.73829148198593</v>
      </c>
      <c r="K5" s="17"/>
      <c r="L5" s="17"/>
      <c r="M5" s="17"/>
      <c r="N5" s="17">
        <f>B34*B43+C34*C43</f>
        <v>6911.2641337902915</v>
      </c>
      <c r="O5" s="17">
        <f>B52*B53*B54</f>
        <v>178.22</v>
      </c>
      <c r="P5" s="17">
        <f>B60*B61*B62/1000-B60*B61*B62/1000/B63</f>
        <v>591.06666666666661</v>
      </c>
    </row>
    <row r="6" spans="1:16">
      <c r="A6" s="16" t="s">
        <v>593</v>
      </c>
      <c r="B6" s="717">
        <f>kWh_PV_kleiner_dan_10kW</f>
        <v>2943.0860205061831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28018.328020506182</v>
      </c>
      <c r="C8" s="21">
        <f>C5</f>
        <v>0</v>
      </c>
      <c r="D8" s="21">
        <f>D5</f>
        <v>45984.267658428893</v>
      </c>
      <c r="E8" s="21">
        <f>E5</f>
        <v>1330.4002586631079</v>
      </c>
      <c r="F8" s="21">
        <f>F5</f>
        <v>41969.977571062358</v>
      </c>
      <c r="G8" s="21"/>
      <c r="H8" s="21"/>
      <c r="I8" s="21"/>
      <c r="J8" s="21">
        <f>J5</f>
        <v>978.73829148198593</v>
      </c>
      <c r="K8" s="21"/>
      <c r="L8" s="21">
        <f>L5</f>
        <v>0</v>
      </c>
      <c r="M8" s="21">
        <f>M5</f>
        <v>0</v>
      </c>
      <c r="N8" s="21">
        <f>N5</f>
        <v>6911.2641337902915</v>
      </c>
      <c r="O8" s="21">
        <f>O5</f>
        <v>178.22</v>
      </c>
      <c r="P8" s="21">
        <f>P5</f>
        <v>591.06666666666661</v>
      </c>
    </row>
    <row r="9" spans="1:16">
      <c r="B9" s="19"/>
      <c r="C9" s="19"/>
      <c r="D9" s="253"/>
      <c r="E9" s="19"/>
      <c r="F9" s="19"/>
      <c r="G9" s="19"/>
      <c r="H9" s="19"/>
      <c r="I9" s="19"/>
      <c r="J9" s="19"/>
      <c r="K9" s="19"/>
      <c r="L9" s="19"/>
      <c r="M9" s="19"/>
      <c r="N9" s="19"/>
      <c r="O9" s="19"/>
      <c r="P9" s="19"/>
    </row>
    <row r="10" spans="1:16">
      <c r="A10" s="24" t="s">
        <v>207</v>
      </c>
      <c r="B10" s="25">
        <f ca="1">'EF ele_warmte'!B12</f>
        <v>0.20798612120283114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5827.4233675736787</v>
      </c>
      <c r="C12" s="23">
        <f ca="1">C10*C8</f>
        <v>0</v>
      </c>
      <c r="D12" s="23">
        <f>D8*D10</f>
        <v>9288.8220670026367</v>
      </c>
      <c r="E12" s="23">
        <f>E10*E8</f>
        <v>302.0008587165255</v>
      </c>
      <c r="F12" s="23">
        <f>F10*F8</f>
        <v>11205.984011473651</v>
      </c>
      <c r="G12" s="23"/>
      <c r="H12" s="23"/>
      <c r="I12" s="23"/>
      <c r="J12" s="23">
        <f>J10*J8</f>
        <v>346.47335518462302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5908</v>
      </c>
      <c r="C26" s="36"/>
      <c r="D26" s="224"/>
    </row>
    <row r="27" spans="1:5" s="15" customFormat="1">
      <c r="A27" s="226" t="s">
        <v>696</v>
      </c>
      <c r="B27" s="37">
        <f>SUM(HH_hh_gas_aantal,HH_rest_gas_aantal)</f>
        <v>3404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3233.8</v>
      </c>
      <c r="C31" s="34" t="s">
        <v>104</v>
      </c>
      <c r="D31" s="170"/>
    </row>
    <row r="32" spans="1:5">
      <c r="A32" s="167" t="s">
        <v>72</v>
      </c>
      <c r="B32" s="33">
        <f>IF((B21*($B$26-($B$27-0.05*$B$27)-$B$60))&lt;0,0,B21*($B$26-($B$27-0.05*$B$27)-$B$60))</f>
        <v>16.665958692395147</v>
      </c>
      <c r="C32" s="34" t="s">
        <v>104</v>
      </c>
      <c r="D32" s="170"/>
    </row>
    <row r="33" spans="1:6">
      <c r="A33" s="167" t="s">
        <v>73</v>
      </c>
      <c r="B33" s="33">
        <f>IF((B22*($B$26-($B$27-0.05*$B$27)-$B$60))&lt;0,0,B22*($B$26-($B$27-0.05*$B$27)-$B$60))</f>
        <v>580.36922433900997</v>
      </c>
      <c r="C33" s="34" t="s">
        <v>104</v>
      </c>
      <c r="D33" s="170"/>
    </row>
    <row r="34" spans="1:6">
      <c r="A34" s="167" t="s">
        <v>74</v>
      </c>
      <c r="B34" s="33">
        <f>IF((B24*($B$26-($B$27-0.05*$B$27)-$B$60))&lt;0,0,B24*($B$26-($B$27-0.05*$B$27)-$B$60))</f>
        <v>115.20072352097681</v>
      </c>
      <c r="C34" s="33">
        <f>B26*C24</f>
        <v>1208.7749237639398</v>
      </c>
      <c r="D34" s="229"/>
    </row>
    <row r="35" spans="1:6">
      <c r="A35" s="167" t="s">
        <v>76</v>
      </c>
      <c r="B35" s="33">
        <f>IF((B19*($B$26-($B$27-0.05*$B$27)-$B$60))&lt;0,0,B19*($B$26-($B$27-0.05*$B$27)-$B$60))</f>
        <v>56.282104856580808</v>
      </c>
      <c r="C35" s="33">
        <f>B35/2</f>
        <v>28.141052428290404</v>
      </c>
      <c r="D35" s="229"/>
    </row>
    <row r="36" spans="1:6">
      <c r="A36" s="167" t="s">
        <v>77</v>
      </c>
      <c r="B36" s="33">
        <f>IF((B18*($B$26-($B$27-0.05*$B$27)-$B$60))&lt;0,0,B18*($B$26-($B$27-0.05*$B$27)-$B$60))</f>
        <v>1874.6819885910379</v>
      </c>
      <c r="C36" s="34" t="s">
        <v>104</v>
      </c>
      <c r="D36" s="170"/>
    </row>
    <row r="37" spans="1:6">
      <c r="A37" s="167" t="s">
        <v>78</v>
      </c>
      <c r="B37" s="33">
        <f>B60</f>
        <v>31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26609.289089999998</v>
      </c>
      <c r="C5" s="17">
        <f>IF(ISERROR('Eigen informatie GS &amp; warmtenet'!B58),0,'Eigen informatie GS &amp; warmtenet'!B58)</f>
        <v>0</v>
      </c>
      <c r="D5" s="30">
        <f>SUM(D6:D12)</f>
        <v>14307.758661664457</v>
      </c>
      <c r="E5" s="17">
        <f>SUM(E6:E12)</f>
        <v>581.10910896216762</v>
      </c>
      <c r="F5" s="17">
        <f>SUM(F6:F12)</f>
        <v>10345.177150778147</v>
      </c>
      <c r="G5" s="18"/>
      <c r="H5" s="17"/>
      <c r="I5" s="17"/>
      <c r="J5" s="17">
        <f>SUM(J6:J12)</f>
        <v>0</v>
      </c>
      <c r="K5" s="17"/>
      <c r="L5" s="17"/>
      <c r="M5" s="17"/>
      <c r="N5" s="17">
        <f>SUM(N6:N12)</f>
        <v>5389.5832483152271</v>
      </c>
      <c r="O5" s="17">
        <f>B38*B39*B40</f>
        <v>1.5633333333333335</v>
      </c>
      <c r="P5" s="17">
        <f>B46*B47*B48/1000-B46*B47*B48/1000/B49</f>
        <v>95.333333333333343</v>
      </c>
      <c r="R5" s="32"/>
    </row>
    <row r="6" spans="1:18">
      <c r="A6" s="32" t="s">
        <v>53</v>
      </c>
      <c r="B6" s="37">
        <f>B26</f>
        <v>1722.65</v>
      </c>
      <c r="C6" s="33"/>
      <c r="D6" s="37">
        <f>IF(ISERROR(TER_kantoor_gas_kWh/1000),0,TER_kantoor_gas_kWh/1000)*0.902</f>
        <v>4160.2816040326361</v>
      </c>
      <c r="E6" s="33">
        <f>$C$26*'E Balans VL '!I12/100/3.6*1000000</f>
        <v>2.4158426805184863E-2</v>
      </c>
      <c r="F6" s="33">
        <f>$C$26*('E Balans VL '!L12+'E Balans VL '!N12)/100/3.6*1000000</f>
        <v>239.44552330192579</v>
      </c>
      <c r="G6" s="34"/>
      <c r="H6" s="33"/>
      <c r="I6" s="33"/>
      <c r="J6" s="33">
        <f>$C$26*('E Balans VL '!D12+'E Balans VL '!E12)/100/3.6*1000000</f>
        <v>0</v>
      </c>
      <c r="K6" s="33"/>
      <c r="L6" s="33"/>
      <c r="M6" s="33"/>
      <c r="N6" s="33">
        <f>$C$26*'E Balans VL '!Y12/100/3.6*1000000</f>
        <v>21.320864859317581</v>
      </c>
      <c r="O6" s="33"/>
      <c r="P6" s="33"/>
      <c r="R6" s="32"/>
    </row>
    <row r="7" spans="1:18">
      <c r="A7" s="32" t="s">
        <v>52</v>
      </c>
      <c r="B7" s="37">
        <f t="shared" ref="B7:B12" si="0">B27</f>
        <v>1396.346</v>
      </c>
      <c r="C7" s="33"/>
      <c r="D7" s="37">
        <f>IF(ISERROR(TER_horeca_gas_kWh/1000),0,TER_horeca_gas_kWh/1000)*0.902</f>
        <v>2548.3045569549213</v>
      </c>
      <c r="E7" s="33">
        <f>$C$27*'E Balans VL '!I9/100/3.6*1000000</f>
        <v>19.931777911933988</v>
      </c>
      <c r="F7" s="33">
        <f>$C$27*('E Balans VL '!L9+'E Balans VL '!N9)/100/3.6*1000000</f>
        <v>217.07565572832121</v>
      </c>
      <c r="G7" s="34"/>
      <c r="H7" s="33"/>
      <c r="I7" s="33"/>
      <c r="J7" s="33">
        <f>$C$27*('E Balans VL '!D9+'E Balans VL '!E9)/100/3.6*1000000</f>
        <v>0</v>
      </c>
      <c r="K7" s="33"/>
      <c r="L7" s="33"/>
      <c r="M7" s="33"/>
      <c r="N7" s="33">
        <f>$C$27*'E Balans VL '!Y9/100/3.6*1000000</f>
        <v>0.35981639386221881</v>
      </c>
      <c r="O7" s="33"/>
      <c r="P7" s="33"/>
      <c r="R7" s="32"/>
    </row>
    <row r="8" spans="1:18">
      <c r="A8" s="6" t="s">
        <v>51</v>
      </c>
      <c r="B8" s="37">
        <f t="shared" si="0"/>
        <v>3232.4929999999999</v>
      </c>
      <c r="C8" s="33"/>
      <c r="D8" s="37">
        <f>IF(ISERROR(TER_handel_gas_kWh/1000),0,TER_handel_gas_kWh/1000)*0.902</f>
        <v>1651.9832851941553</v>
      </c>
      <c r="E8" s="33">
        <f>$C$28*'E Balans VL '!I13/100/3.6*1000000</f>
        <v>87.488173266975991</v>
      </c>
      <c r="F8" s="33">
        <f>$C$28*('E Balans VL '!L13+'E Balans VL '!N13)/100/3.6*1000000</f>
        <v>501.94592866032264</v>
      </c>
      <c r="G8" s="34"/>
      <c r="H8" s="33"/>
      <c r="I8" s="33"/>
      <c r="J8" s="33">
        <f>$C$28*('E Balans VL '!D13+'E Balans VL '!E13)/100/3.6*1000000</f>
        <v>0</v>
      </c>
      <c r="K8" s="33"/>
      <c r="L8" s="33"/>
      <c r="M8" s="33"/>
      <c r="N8" s="33">
        <f>$C$28*'E Balans VL '!Y13/100/3.6*1000000</f>
        <v>26.191854546179268</v>
      </c>
      <c r="O8" s="33"/>
      <c r="P8" s="33"/>
      <c r="R8" s="32"/>
    </row>
    <row r="9" spans="1:18">
      <c r="A9" s="32" t="s">
        <v>50</v>
      </c>
      <c r="B9" s="37">
        <f t="shared" si="0"/>
        <v>224.1721</v>
      </c>
      <c r="C9" s="33"/>
      <c r="D9" s="37">
        <f>IF(ISERROR(TER_gezond_gas_kWh/1000),0,TER_gezond_gas_kWh/1000)*0.902</f>
        <v>698.00890134762358</v>
      </c>
      <c r="E9" s="33">
        <f>$C$29*'E Balans VL '!I10/100/3.6*1000000</f>
        <v>1.3988222509701361E-2</v>
      </c>
      <c r="F9" s="33">
        <f>$C$29*('E Balans VL '!L10+'E Balans VL '!N10)/100/3.6*1000000</f>
        <v>29.021212766311088</v>
      </c>
      <c r="G9" s="34"/>
      <c r="H9" s="33"/>
      <c r="I9" s="33"/>
      <c r="J9" s="33">
        <f>$C$29*('E Balans VL '!D10+'E Balans VL '!E10)/100/3.6*1000000</f>
        <v>0</v>
      </c>
      <c r="K9" s="33"/>
      <c r="L9" s="33"/>
      <c r="M9" s="33"/>
      <c r="N9" s="33">
        <f>$C$29*'E Balans VL '!Y10/100/3.6*1000000</f>
        <v>1.8379921599810074</v>
      </c>
      <c r="O9" s="33"/>
      <c r="P9" s="33"/>
      <c r="R9" s="32"/>
    </row>
    <row r="10" spans="1:18">
      <c r="A10" s="32" t="s">
        <v>49</v>
      </c>
      <c r="B10" s="37">
        <f t="shared" si="0"/>
        <v>11497.189</v>
      </c>
      <c r="C10" s="33"/>
      <c r="D10" s="37">
        <f>IF(ISERROR(TER_ander_gas_kWh/1000),0,TER_ander_gas_kWh/1000)*0.902</f>
        <v>836.67594330742577</v>
      </c>
      <c r="E10" s="33">
        <f>$C$30*'E Balans VL '!I14/100/3.6*1000000</f>
        <v>347.09476834532887</v>
      </c>
      <c r="F10" s="33">
        <f>$C$30*('E Balans VL '!L14+'E Balans VL '!N14)/100/3.6*1000000</f>
        <v>7279.4207394705863</v>
      </c>
      <c r="G10" s="34"/>
      <c r="H10" s="33"/>
      <c r="I10" s="33"/>
      <c r="J10" s="33">
        <f>$C$30*('E Balans VL '!D14+'E Balans VL '!E14)/100/3.6*1000000</f>
        <v>0</v>
      </c>
      <c r="K10" s="33"/>
      <c r="L10" s="33"/>
      <c r="M10" s="33"/>
      <c r="N10" s="33">
        <f>$C$30*'E Balans VL '!Y14/100/3.6*1000000</f>
        <v>4653.6336651599913</v>
      </c>
      <c r="O10" s="33"/>
      <c r="P10" s="33"/>
      <c r="R10" s="32"/>
    </row>
    <row r="11" spans="1:18">
      <c r="A11" s="32" t="s">
        <v>54</v>
      </c>
      <c r="B11" s="37">
        <f t="shared" si="0"/>
        <v>56.433990000000001</v>
      </c>
      <c r="C11" s="33"/>
      <c r="D11" s="37">
        <f>IF(ISERROR(TER_onderwijs_gas_kWh/1000),0,TER_onderwijs_gas_kWh/1000)*0.902</f>
        <v>1223.9137203508576</v>
      </c>
      <c r="E11" s="33">
        <f>$C$31*'E Balans VL '!I11/100/3.6*1000000</f>
        <v>7.1071529014056445E-2</v>
      </c>
      <c r="F11" s="33">
        <f>$C$31*('E Balans VL '!L11+'E Balans VL '!N11)/100/3.6*1000000</f>
        <v>20.962660744495786</v>
      </c>
      <c r="G11" s="34"/>
      <c r="H11" s="33"/>
      <c r="I11" s="33"/>
      <c r="J11" s="33">
        <f>$C$31*('E Balans VL '!D11+'E Balans VL '!E11)/100/3.6*1000000</f>
        <v>0</v>
      </c>
      <c r="K11" s="33"/>
      <c r="L11" s="33"/>
      <c r="M11" s="33"/>
      <c r="N11" s="33">
        <f>$C$31*'E Balans VL '!Y11/100/3.6*1000000</f>
        <v>7.1463252755966628E-2</v>
      </c>
      <c r="O11" s="33"/>
      <c r="P11" s="33"/>
      <c r="R11" s="32"/>
    </row>
    <row r="12" spans="1:18">
      <c r="A12" s="32" t="s">
        <v>249</v>
      </c>
      <c r="B12" s="37">
        <f t="shared" si="0"/>
        <v>8480.0049999999992</v>
      </c>
      <c r="C12" s="33"/>
      <c r="D12" s="37">
        <f>IF(ISERROR(TER_rest_gas_kWh/1000),0,TER_rest_gas_kWh/1000)*0.902</f>
        <v>3188.5906504768377</v>
      </c>
      <c r="E12" s="33">
        <f>$C$32*'E Balans VL '!I8/100/3.6*1000000</f>
        <v>126.48517125959984</v>
      </c>
      <c r="F12" s="33">
        <f>$C$32*('E Balans VL '!L8+'E Balans VL '!N8)/100/3.6*1000000</f>
        <v>2057.3054301061838</v>
      </c>
      <c r="G12" s="34"/>
      <c r="H12" s="33"/>
      <c r="I12" s="33"/>
      <c r="J12" s="33">
        <f>$C$32*('E Balans VL '!D8+'E Balans VL '!E8)/100/3.6*1000000</f>
        <v>0</v>
      </c>
      <c r="K12" s="33"/>
      <c r="L12" s="33"/>
      <c r="M12" s="33"/>
      <c r="N12" s="33">
        <f>$C$32*'E Balans VL '!Y8/100/3.6*1000000</f>
        <v>686.16759194313966</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26609.289089999998</v>
      </c>
      <c r="C16" s="21">
        <f t="shared" ca="1" si="1"/>
        <v>0</v>
      </c>
      <c r="D16" s="21">
        <f t="shared" ca="1" si="1"/>
        <v>14307.758661664457</v>
      </c>
      <c r="E16" s="21">
        <f t="shared" si="1"/>
        <v>581.10910896216762</v>
      </c>
      <c r="F16" s="21">
        <f t="shared" ca="1" si="1"/>
        <v>10345.177150778147</v>
      </c>
      <c r="G16" s="21">
        <f t="shared" si="1"/>
        <v>0</v>
      </c>
      <c r="H16" s="21">
        <f t="shared" si="1"/>
        <v>0</v>
      </c>
      <c r="I16" s="21">
        <f t="shared" si="1"/>
        <v>0</v>
      </c>
      <c r="J16" s="21">
        <f t="shared" si="1"/>
        <v>0</v>
      </c>
      <c r="K16" s="21">
        <f t="shared" si="1"/>
        <v>0</v>
      </c>
      <c r="L16" s="21">
        <f t="shared" ca="1" si="1"/>
        <v>0</v>
      </c>
      <c r="M16" s="21">
        <f t="shared" si="1"/>
        <v>0</v>
      </c>
      <c r="N16" s="21">
        <f t="shared" ca="1" si="1"/>
        <v>5389.5832483152271</v>
      </c>
      <c r="O16" s="21">
        <f>O5</f>
        <v>1.5633333333333335</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0.20798612120283114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5534.3628257939117</v>
      </c>
      <c r="C20" s="23">
        <f t="shared" ref="C20:P20" ca="1" si="2">C16*C18</f>
        <v>0</v>
      </c>
      <c r="D20" s="23">
        <f t="shared" ca="1" si="2"/>
        <v>2890.1672496562205</v>
      </c>
      <c r="E20" s="23">
        <f t="shared" si="2"/>
        <v>131.91176773441205</v>
      </c>
      <c r="F20" s="23">
        <f t="shared" ca="1" si="2"/>
        <v>2762.1622992577654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1722.65</v>
      </c>
      <c r="C26" s="39">
        <f>IF(ISERROR(B26*3.6/1000000/'E Balans VL '!Z12*100),0,B26*3.6/1000000/'E Balans VL '!Z12*100)</f>
        <v>4.6790401871173927E-2</v>
      </c>
      <c r="D26" s="232" t="s">
        <v>651</v>
      </c>
      <c r="F26" s="6"/>
    </row>
    <row r="27" spans="1:18">
      <c r="A27" s="227" t="s">
        <v>52</v>
      </c>
      <c r="B27" s="33">
        <f>IF(ISERROR(TER_horeca_ele_kWh/1000),0,TER_horeca_ele_kWh/1000)</f>
        <v>1396.346</v>
      </c>
      <c r="C27" s="39">
        <f>IF(ISERROR(B27*3.6/1000000/'E Balans VL '!Z9*100),0,B27*3.6/1000000/'E Balans VL '!Z9*100)</f>
        <v>0.11220727678401234</v>
      </c>
      <c r="D27" s="232" t="s">
        <v>651</v>
      </c>
      <c r="F27" s="6"/>
    </row>
    <row r="28" spans="1:18">
      <c r="A28" s="167" t="s">
        <v>51</v>
      </c>
      <c r="B28" s="33">
        <f>IF(ISERROR(TER_handel_ele_kWh/1000),0,TER_handel_ele_kWh/1000)</f>
        <v>3232.4929999999999</v>
      </c>
      <c r="C28" s="39">
        <f>IF(ISERROR(B28*3.6/1000000/'E Balans VL '!Z13*100),0,B28*3.6/1000000/'E Balans VL '!Z13*100)</f>
        <v>9.5472094170825791E-2</v>
      </c>
      <c r="D28" s="232" t="s">
        <v>651</v>
      </c>
      <c r="F28" s="6"/>
    </row>
    <row r="29" spans="1:18">
      <c r="A29" s="227" t="s">
        <v>50</v>
      </c>
      <c r="B29" s="33">
        <f>IF(ISERROR(TER_gezond_ele_kWh/1000),0,TER_gezond_ele_kWh/1000)</f>
        <v>224.1721</v>
      </c>
      <c r="C29" s="39">
        <f>IF(ISERROR(B29*3.6/1000000/'E Balans VL '!Z10*100),0,B29*3.6/1000000/'E Balans VL '!Z10*100)</f>
        <v>2.5637664757150617E-2</v>
      </c>
      <c r="D29" s="232" t="s">
        <v>651</v>
      </c>
      <c r="F29" s="6"/>
    </row>
    <row r="30" spans="1:18">
      <c r="A30" s="227" t="s">
        <v>49</v>
      </c>
      <c r="B30" s="33">
        <f>IF(ISERROR(TER_ander_ele_kWh/1000),0,TER_ander_ele_kWh/1000)</f>
        <v>11497.189</v>
      </c>
      <c r="C30" s="39">
        <f>IF(ISERROR(B30*3.6/1000000/'E Balans VL '!Z14*100),0,B30*3.6/1000000/'E Balans VL '!Z14*100)</f>
        <v>0.5372875976520064</v>
      </c>
      <c r="D30" s="232" t="s">
        <v>651</v>
      </c>
      <c r="F30" s="6"/>
    </row>
    <row r="31" spans="1:18">
      <c r="A31" s="227" t="s">
        <v>54</v>
      </c>
      <c r="B31" s="33">
        <f>IF(ISERROR(TER_onderwijs_ele_kWh/1000),0,TER_onderwijs_ele_kWh/1000)</f>
        <v>56.433990000000001</v>
      </c>
      <c r="C31" s="39">
        <f>IF(ISERROR(B31*3.6/1000000/'E Balans VL '!Z11*100),0,B31*3.6/1000000/'E Balans VL '!Z11*100)</f>
        <v>1.4902442606721591E-2</v>
      </c>
      <c r="D31" s="232" t="s">
        <v>651</v>
      </c>
    </row>
    <row r="32" spans="1:18">
      <c r="A32" s="227" t="s">
        <v>249</v>
      </c>
      <c r="B32" s="33">
        <f>IF(ISERROR(TER_rest_ele_kWh/1000),0,TER_rest_ele_kWh/1000)</f>
        <v>8480.0049999999992</v>
      </c>
      <c r="C32" s="39">
        <f>IF(ISERROR(B32*3.6/1000000/'E Balans VL '!Z8*100),0,B32*3.6/1000000/'E Balans VL '!Z8*100)</f>
        <v>7.244896995961532E-2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5</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53651.110700000005</v>
      </c>
      <c r="C5" s="17">
        <f>IF(ISERROR('Eigen informatie GS &amp; warmtenet'!B59),0,'Eigen informatie GS &amp; warmtenet'!B59)</f>
        <v>0</v>
      </c>
      <c r="D5" s="30">
        <f>SUM(D6:D15)</f>
        <v>22778.680452893172</v>
      </c>
      <c r="E5" s="17">
        <f>SUM(E6:E15)</f>
        <v>2513.6207928459244</v>
      </c>
      <c r="F5" s="17">
        <f>SUM(F6:F15)</f>
        <v>17146.845247790108</v>
      </c>
      <c r="G5" s="18"/>
      <c r="H5" s="17"/>
      <c r="I5" s="17"/>
      <c r="J5" s="17">
        <f>SUM(J6:J15)</f>
        <v>264.938459992378</v>
      </c>
      <c r="K5" s="17"/>
      <c r="L5" s="17"/>
      <c r="M5" s="17"/>
      <c r="N5" s="17">
        <f>SUM(N6:N15)</f>
        <v>4250.5273455257829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243.91910000000001</v>
      </c>
      <c r="C8" s="33"/>
      <c r="D8" s="37">
        <f>IF( ISERROR(IND_metaal_Gas_kWH/1000),0,IND_metaal_Gas_kWH/1000)*0.902</f>
        <v>152.76806325678231</v>
      </c>
      <c r="E8" s="33">
        <f>C30*'E Balans VL '!I18/100/3.6*1000000</f>
        <v>6.1044413744392996</v>
      </c>
      <c r="F8" s="33">
        <f>C30*'E Balans VL '!L18/100/3.6*1000000+C30*'E Balans VL '!N18/100/3.6*1000000</f>
        <v>76.445459256001797</v>
      </c>
      <c r="G8" s="34"/>
      <c r="H8" s="33"/>
      <c r="I8" s="33"/>
      <c r="J8" s="40">
        <f>C30*'E Balans VL '!D18/100/3.6*1000000+C30*'E Balans VL '!E18/100/3.6*1000000</f>
        <v>0</v>
      </c>
      <c r="K8" s="33"/>
      <c r="L8" s="33"/>
      <c r="M8" s="33"/>
      <c r="N8" s="33">
        <f>C30*'E Balans VL '!Y18/100/3.6*1000000</f>
        <v>6.1278808172647299</v>
      </c>
      <c r="O8" s="33"/>
      <c r="P8" s="33"/>
      <c r="R8" s="32"/>
    </row>
    <row r="9" spans="1:18">
      <c r="A9" s="6" t="s">
        <v>32</v>
      </c>
      <c r="B9" s="37">
        <f t="shared" si="0"/>
        <v>695.75760000000002</v>
      </c>
      <c r="C9" s="33"/>
      <c r="D9" s="37">
        <f>IF( ISERROR(IND_andere_gas_kWh/1000),0,IND_andere_gas_kWh/1000)*0.902</f>
        <v>639.62653928996099</v>
      </c>
      <c r="E9" s="33">
        <f>C31*'E Balans VL '!I19/100/3.6*1000000</f>
        <v>191.30480346335594</v>
      </c>
      <c r="F9" s="33">
        <f>C31*'E Balans VL '!L19/100/3.6*1000000+C31*'E Balans VL '!N19/100/3.6*1000000</f>
        <v>548.378059315016</v>
      </c>
      <c r="G9" s="34"/>
      <c r="H9" s="33"/>
      <c r="I9" s="33"/>
      <c r="J9" s="40">
        <f>C31*'E Balans VL '!D19/100/3.6*1000000+C31*'E Balans VL '!E19/100/3.6*1000000</f>
        <v>0</v>
      </c>
      <c r="K9" s="33"/>
      <c r="L9" s="33"/>
      <c r="M9" s="33"/>
      <c r="N9" s="33">
        <f>C31*'E Balans VL '!Y19/100/3.6*1000000</f>
        <v>56.050670691459587</v>
      </c>
      <c r="O9" s="33"/>
      <c r="P9" s="33"/>
      <c r="R9" s="32"/>
    </row>
    <row r="10" spans="1:18">
      <c r="A10" s="6" t="s">
        <v>40</v>
      </c>
      <c r="B10" s="37">
        <f t="shared" si="0"/>
        <v>3247.1869999999999</v>
      </c>
      <c r="C10" s="33"/>
      <c r="D10" s="37">
        <f>IF( ISERROR(IND_voed_gas_kWh/1000),0,IND_voed_gas_kWh/1000)*0.902</f>
        <v>588.48056076818307</v>
      </c>
      <c r="E10" s="33">
        <f>C32*'E Balans VL '!I20/100/3.6*1000000</f>
        <v>33.103282579474275</v>
      </c>
      <c r="F10" s="33">
        <f>C32*'E Balans VL '!L20/100/3.6*1000000+C32*'E Balans VL '!N20/100/3.6*1000000</f>
        <v>6133.9159338057798</v>
      </c>
      <c r="G10" s="34"/>
      <c r="H10" s="33"/>
      <c r="I10" s="33"/>
      <c r="J10" s="40">
        <f>C32*'E Balans VL '!D20/100/3.6*1000000+C32*'E Balans VL '!E20/100/3.6*1000000</f>
        <v>77.715809753966894</v>
      </c>
      <c r="K10" s="33"/>
      <c r="L10" s="33"/>
      <c r="M10" s="33"/>
      <c r="N10" s="33">
        <f>C32*'E Balans VL '!Y20/100/3.6*1000000</f>
        <v>1711.6415790774979</v>
      </c>
      <c r="O10" s="33"/>
      <c r="P10" s="33"/>
      <c r="R10" s="32"/>
    </row>
    <row r="11" spans="1:18">
      <c r="A11" s="6" t="s">
        <v>39</v>
      </c>
      <c r="B11" s="37">
        <f t="shared" si="0"/>
        <v>4837.8090000000002</v>
      </c>
      <c r="C11" s="33"/>
      <c r="D11" s="37">
        <f>IF( ISERROR(IND_textiel_gas_kWh/1000),0,IND_textiel_gas_kWh/1000)*0.902</f>
        <v>0</v>
      </c>
      <c r="E11" s="33">
        <f>C33*'E Balans VL '!I21/100/3.6*1000000</f>
        <v>12.822560590836259</v>
      </c>
      <c r="F11" s="33">
        <f>C33*'E Balans VL '!L21/100/3.6*1000000+C33*'E Balans VL '!N21/100/3.6*1000000</f>
        <v>216.06154051159132</v>
      </c>
      <c r="G11" s="34"/>
      <c r="H11" s="33"/>
      <c r="I11" s="33"/>
      <c r="J11" s="40">
        <f>C33*'E Balans VL '!D21/100/3.6*1000000+C33*'E Balans VL '!E21/100/3.6*1000000</f>
        <v>0</v>
      </c>
      <c r="K11" s="33"/>
      <c r="L11" s="33"/>
      <c r="M11" s="33"/>
      <c r="N11" s="33">
        <f>C33*'E Balans VL '!Y21/100/3.6*1000000</f>
        <v>45.592891555403455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406.40292932080462</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44626.438000000002</v>
      </c>
      <c r="C15" s="33"/>
      <c r="D15" s="37">
        <f>IF( ISERROR(IND_rest_gas_kWh/1000),0,IND_rest_gas_kWh/1000)*0.902</f>
        <v>20991.402360257442</v>
      </c>
      <c r="E15" s="33">
        <f>C37*'E Balans VL '!I15/100/3.6*1000000</f>
        <v>2270.2857048378187</v>
      </c>
      <c r="F15" s="33">
        <f>C37*'E Balans VL '!L15/100/3.6*1000000+C37*'E Balans VL '!N15/100/3.6*1000000</f>
        <v>10172.044254901721</v>
      </c>
      <c r="G15" s="34"/>
      <c r="H15" s="33"/>
      <c r="I15" s="33"/>
      <c r="J15" s="40">
        <f>C37*'E Balans VL '!D15/100/3.6*1000000+C37*'E Balans VL '!E15/100/3.6*1000000</f>
        <v>187.22265023841109</v>
      </c>
      <c r="K15" s="33"/>
      <c r="L15" s="33"/>
      <c r="M15" s="33"/>
      <c r="N15" s="33">
        <f>C37*'E Balans VL '!Y15/100/3.6*1000000</f>
        <v>2431.1143233841572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53651.110700000005</v>
      </c>
      <c r="C18" s="21">
        <f>C5+C16</f>
        <v>0</v>
      </c>
      <c r="D18" s="21">
        <f>MAX((D5+D16),0)</f>
        <v>22778.680452893172</v>
      </c>
      <c r="E18" s="21">
        <f>MAX((E5+E16),0)</f>
        <v>2513.6207928459244</v>
      </c>
      <c r="F18" s="21">
        <f>MAX((F5+F16),0)</f>
        <v>17146.845247790108</v>
      </c>
      <c r="G18" s="21"/>
      <c r="H18" s="21"/>
      <c r="I18" s="21"/>
      <c r="J18" s="21">
        <f>MAX((J5+J16),0)</f>
        <v>264.938459992378</v>
      </c>
      <c r="K18" s="21"/>
      <c r="L18" s="21">
        <f>MAX((L5+L16),0)</f>
        <v>0</v>
      </c>
      <c r="M18" s="21"/>
      <c r="N18" s="21">
        <f>MAX((N5+N16),0)</f>
        <v>4250.5273455257829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0.20798612120283114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11158.686412716712</v>
      </c>
      <c r="C22" s="23">
        <f ca="1">C18*C20</f>
        <v>0</v>
      </c>
      <c r="D22" s="23">
        <f>D18*D20</f>
        <v>4601.293451484421</v>
      </c>
      <c r="E22" s="23">
        <f>E18*E20</f>
        <v>570.59191997602488</v>
      </c>
      <c r="F22" s="23">
        <f>F18*F20</f>
        <v>4578.2076811599591</v>
      </c>
      <c r="G22" s="23"/>
      <c r="H22" s="23"/>
      <c r="I22" s="23"/>
      <c r="J22" s="23">
        <f>J18*J20</f>
        <v>93.788214837301808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243.91910000000001</v>
      </c>
      <c r="C30" s="39">
        <f>IF(ISERROR(B30*3.6/1000000/'E Balans VL '!Z18*100),0,B30*3.6/1000000/'E Balans VL '!Z18*100)</f>
        <v>3.4140545306192344E-2</v>
      </c>
      <c r="D30" s="232" t="s">
        <v>651</v>
      </c>
    </row>
    <row r="31" spans="1:18">
      <c r="A31" s="6" t="s">
        <v>32</v>
      </c>
      <c r="B31" s="37">
        <f>IF( ISERROR(IND_ander_ele_kWh/1000),0,IND_ander_ele_kWh/1000)</f>
        <v>695.75760000000002</v>
      </c>
      <c r="C31" s="39">
        <f>IF(ISERROR(B31*3.6/1000000/'E Balans VL '!Z19*100),0,B31*3.6/1000000/'E Balans VL '!Z19*100)</f>
        <v>3.0453197284081645E-2</v>
      </c>
      <c r="D31" s="232" t="s">
        <v>651</v>
      </c>
    </row>
    <row r="32" spans="1:18">
      <c r="A32" s="167" t="s">
        <v>40</v>
      </c>
      <c r="B32" s="37">
        <f>IF( ISERROR(IND_voed_ele_kWh/1000),0,IND_voed_ele_kWh/1000)</f>
        <v>3247.1869999999999</v>
      </c>
      <c r="C32" s="39">
        <f>IF(ISERROR(B32*3.6/1000000/'E Balans VL '!Z20*100),0,B32*3.6/1000000/'E Balans VL '!Z20*100)</f>
        <v>0.80389566743868202</v>
      </c>
      <c r="D32" s="232" t="s">
        <v>651</v>
      </c>
    </row>
    <row r="33" spans="1:5">
      <c r="A33" s="167" t="s">
        <v>39</v>
      </c>
      <c r="B33" s="37">
        <f>IF( ISERROR(IND_textiel_ele_kWh/1000),0,IND_textiel_ele_kWh/1000)</f>
        <v>4837.8090000000002</v>
      </c>
      <c r="C33" s="39">
        <f>IF(ISERROR(B33*3.6/1000000/'E Balans VL '!Z21*100),0,B33*3.6/1000000/'E Balans VL '!Z21*100)</f>
        <v>0.54513585550934252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44626.438000000002</v>
      </c>
      <c r="C37" s="39">
        <f>IF(ISERROR(B37*3.6/1000000/'E Balans VL '!Z15*100),0,B37*3.6/1000000/'E Balans VL '!Z15*100)</f>
        <v>0.33089739740050117</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683.83727999999996</v>
      </c>
      <c r="C5" s="17">
        <f>'Eigen informatie GS &amp; warmtenet'!B60</f>
        <v>0</v>
      </c>
      <c r="D5" s="30">
        <f>IF(ISERROR(SUM(LB_lb_gas_kWh,LB_rest_gas_kWh)/1000),0,SUM(LB_lb_gas_kWh,LB_rest_gas_kWh)/1000)*0.902</f>
        <v>339.69125342930278</v>
      </c>
      <c r="E5" s="17">
        <f>B17*'E Balans VL '!I25/3.6*1000000/100</f>
        <v>14.663891654000405</v>
      </c>
      <c r="F5" s="17">
        <f>B17*('E Balans VL '!L25/3.6*1000000+'E Balans VL '!N25/3.6*1000000)/100</f>
        <v>2218.1490116562941</v>
      </c>
      <c r="G5" s="18"/>
      <c r="H5" s="17"/>
      <c r="I5" s="17"/>
      <c r="J5" s="17">
        <f>('E Balans VL '!D25+'E Balans VL '!E25)/3.6*1000000*landbouw!B17/100</f>
        <v>65.888083322601105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683.83727999999996</v>
      </c>
      <c r="C8" s="21">
        <f>C5+C6</f>
        <v>0</v>
      </c>
      <c r="D8" s="21">
        <f>MAX((D5+D6),0)</f>
        <v>339.69125342930278</v>
      </c>
      <c r="E8" s="21">
        <f>MAX((E5+E6),0)</f>
        <v>14.663891654000405</v>
      </c>
      <c r="F8" s="21">
        <f>MAX((F5+F6),0)</f>
        <v>2218.1490116562941</v>
      </c>
      <c r="G8" s="21"/>
      <c r="H8" s="21"/>
      <c r="I8" s="21"/>
      <c r="J8" s="21">
        <f>MAX((J5+J6),0)</f>
        <v>65.888083322601105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0.20798612120283114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142.22866340109437</v>
      </c>
      <c r="C12" s="23">
        <f ca="1">C8*C10</f>
        <v>0</v>
      </c>
      <c r="D12" s="23">
        <f>D8*D10</f>
        <v>68.617633192719168</v>
      </c>
      <c r="E12" s="23">
        <f>E8*E10</f>
        <v>3.328703405458092</v>
      </c>
      <c r="F12" s="23">
        <f>F8*F10</f>
        <v>592.24578611223058</v>
      </c>
      <c r="G12" s="23"/>
      <c r="H12" s="23"/>
      <c r="I12" s="23"/>
      <c r="J12" s="23">
        <f>J8*J10</f>
        <v>23.32438149620079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9.7227161359377257E-2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133.05726500633256</v>
      </c>
      <c r="C26" s="242">
        <f>B26*'GWP N2O_CH4'!B5</f>
        <v>2794.2025651329836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21.596541462504494</v>
      </c>
      <c r="C27" s="242">
        <f>B27*'GWP N2O_CH4'!B5</f>
        <v>453.52737071259435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1.831654630484935</v>
      </c>
      <c r="C28" s="242">
        <f>B28*'GWP N2O_CH4'!B4</f>
        <v>567.81293545032986</v>
      </c>
      <c r="D28" s="50"/>
    </row>
    <row r="29" spans="1:4">
      <c r="A29" s="41" t="s">
        <v>266</v>
      </c>
      <c r="B29" s="242">
        <f>B34*'ha_N2O bodem landbouw'!B4</f>
        <v>7.4671199024808184</v>
      </c>
      <c r="C29" s="242">
        <f>B29*'GWP N2O_CH4'!B4</f>
        <v>2314.8071697690539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1.6747434435575826E-3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4.1533989222371115E-5</v>
      </c>
      <c r="C5" s="428" t="s">
        <v>204</v>
      </c>
      <c r="D5" s="413">
        <f>SUM(D6:D11)</f>
        <v>8.3279125667804979E-5</v>
      </c>
      <c r="E5" s="413">
        <f>SUM(E6:E11)</f>
        <v>7.8216128669135064E-4</v>
      </c>
      <c r="F5" s="426" t="s">
        <v>204</v>
      </c>
      <c r="G5" s="413">
        <f>SUM(G6:G11)</f>
        <v>0.21662579889397174</v>
      </c>
      <c r="H5" s="413">
        <f>SUM(H6:H11)</f>
        <v>4.9982908695533235E-2</v>
      </c>
      <c r="I5" s="428" t="s">
        <v>204</v>
      </c>
      <c r="J5" s="428" t="s">
        <v>204</v>
      </c>
      <c r="K5" s="428" t="s">
        <v>204</v>
      </c>
      <c r="L5" s="428" t="s">
        <v>204</v>
      </c>
      <c r="M5" s="413">
        <f>SUM(M6:M11)</f>
        <v>1.4083968873024351E-2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1.1744030602569269E-5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1.7761986183057093E-5</v>
      </c>
      <c r="E6" s="819">
        <f>vkm_GW_PW*SUMIFS(TableVerdeelsleutelVkm[LPG],TableVerdeelsleutelVkm[Voertuigtype],"Lichte voertuigen")*SUMIFS(TableECFTransport[EnergieConsumptieFactor (PJ per km)],TableECFTransport[Index],CONCATENATE($A6,"_LPG_LPG"))</f>
        <v>1.7351310280051409E-4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4.0287372322375503E-2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1.0973517219962049E-2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2.6704708736058989E-3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5.4008525454135369E-7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2.0728586933316837E-2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4.6447617680487764E-7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1.2017985139763368E-3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2.8765486358149101E-5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6.5517139484747892E-5</v>
      </c>
      <c r="E8" s="416">
        <f>vkm_NGW_PW*SUMIFS(TableVerdeelsleutelVkm[LPG],TableVerdeelsleutelVkm[Voertuigtype],"Lichte voertuigen")*SUMIFS(TableECFTransport[EnergieConsumptieFactor (PJ per km)],TableECFTransport[Index],CONCATENATE($A8,"_LPG_LPG"))</f>
        <v>6.0864818389083652E-4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0.13172401665789377</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3.9008424182275681E-2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8.8268522613519258E-3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4.8438700711139463E-7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2.3885822980385635E-2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5.0281711869522201E-7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1.3848472240901902E-3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11.53721922843642</v>
      </c>
      <c r="C14" s="21"/>
      <c r="D14" s="21">
        <f t="shared" ref="D14:M14" si="0">((D5)*10^9/3600)+D12</f>
        <v>23.133090463279164</v>
      </c>
      <c r="E14" s="21">
        <f t="shared" si="0"/>
        <v>217.26702408093072</v>
      </c>
      <c r="F14" s="21"/>
      <c r="G14" s="21">
        <f t="shared" si="0"/>
        <v>60173.833026103261</v>
      </c>
      <c r="H14" s="21">
        <f t="shared" si="0"/>
        <v>13884.141304314788</v>
      </c>
      <c r="I14" s="21"/>
      <c r="J14" s="21"/>
      <c r="K14" s="21"/>
      <c r="L14" s="21"/>
      <c r="M14" s="21">
        <f t="shared" si="0"/>
        <v>3912.2135758400977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0.20798612120283114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2.3995814767892112</v>
      </c>
      <c r="C18" s="23"/>
      <c r="D18" s="23">
        <f t="shared" ref="D18:M18" si="1">D14*D16</f>
        <v>4.6728842735823912</v>
      </c>
      <c r="E18" s="23">
        <f t="shared" si="1"/>
        <v>49.319614466371277</v>
      </c>
      <c r="F18" s="23"/>
      <c r="G18" s="23">
        <f t="shared" si="1"/>
        <v>16066.413417969572</v>
      </c>
      <c r="H18" s="23">
        <f t="shared" si="1"/>
        <v>3457.1511847743823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8.0445827673710418E-6</v>
      </c>
      <c r="C50" s="311">
        <f t="shared" ref="C50:P50" si="2">SUM(C51:C52)</f>
        <v>0</v>
      </c>
      <c r="D50" s="311">
        <f t="shared" si="2"/>
        <v>0</v>
      </c>
      <c r="E50" s="311">
        <f t="shared" si="2"/>
        <v>0</v>
      </c>
      <c r="F50" s="311">
        <f t="shared" si="2"/>
        <v>0</v>
      </c>
      <c r="G50" s="311">
        <f t="shared" si="2"/>
        <v>1.5243423170617329E-3</v>
      </c>
      <c r="H50" s="311">
        <f t="shared" si="2"/>
        <v>0</v>
      </c>
      <c r="I50" s="311">
        <f t="shared" si="2"/>
        <v>0</v>
      </c>
      <c r="J50" s="311">
        <f t="shared" si="2"/>
        <v>0</v>
      </c>
      <c r="K50" s="311">
        <f t="shared" si="2"/>
        <v>0</v>
      </c>
      <c r="L50" s="311">
        <f t="shared" si="2"/>
        <v>0</v>
      </c>
      <c r="M50" s="311">
        <f t="shared" si="2"/>
        <v>8.7753393438720349E-5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8.0445827673710418E-6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1.5243423170617329E-3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8.7753393438720349E-5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2.234606324269734</v>
      </c>
      <c r="C54" s="21">
        <f t="shared" ref="C54:P54" si="3">(C50)*10^9/3600</f>
        <v>0</v>
      </c>
      <c r="D54" s="21">
        <f t="shared" si="3"/>
        <v>0</v>
      </c>
      <c r="E54" s="21">
        <f t="shared" si="3"/>
        <v>0</v>
      </c>
      <c r="F54" s="21">
        <f t="shared" si="3"/>
        <v>0</v>
      </c>
      <c r="G54" s="21">
        <f t="shared" si="3"/>
        <v>423.42842140603693</v>
      </c>
      <c r="H54" s="21">
        <f t="shared" si="3"/>
        <v>0</v>
      </c>
      <c r="I54" s="21">
        <f t="shared" si="3"/>
        <v>0</v>
      </c>
      <c r="J54" s="21">
        <f t="shared" si="3"/>
        <v>0</v>
      </c>
      <c r="K54" s="21">
        <f t="shared" si="3"/>
        <v>0</v>
      </c>
      <c r="L54" s="21">
        <f t="shared" si="3"/>
        <v>0</v>
      </c>
      <c r="M54" s="21">
        <f t="shared" si="3"/>
        <v>24.375942621866763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0.20798612120283114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0.46476710180017788</v>
      </c>
      <c r="C58" s="23">
        <f t="shared" ref="C58:P58" ca="1" si="4">C54*C56</f>
        <v>0</v>
      </c>
      <c r="D58" s="23">
        <f t="shared" si="4"/>
        <v>0</v>
      </c>
      <c r="E58" s="23">
        <f t="shared" si="4"/>
        <v>0</v>
      </c>
      <c r="F58" s="23">
        <f t="shared" si="4"/>
        <v>0</v>
      </c>
      <c r="G58" s="23">
        <f t="shared" si="4"/>
        <v>113.05538851541186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6595.6299198254237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6595.6299198254237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27492.407089999997</v>
      </c>
      <c r="D10" s="943">
        <f ca="1">tertiair!C16</f>
        <v>0</v>
      </c>
      <c r="E10" s="943">
        <f ca="1">tertiair!D16</f>
        <v>14307.758661664457</v>
      </c>
      <c r="F10" s="943">
        <f>tertiair!E16</f>
        <v>581.10910896216762</v>
      </c>
      <c r="G10" s="943">
        <f ca="1">tertiair!F16</f>
        <v>10345.177150778147</v>
      </c>
      <c r="H10" s="943">
        <f>tertiair!G16</f>
        <v>0</v>
      </c>
      <c r="I10" s="943">
        <f>tertiair!H16</f>
        <v>0</v>
      </c>
      <c r="J10" s="943">
        <f>tertiair!I16</f>
        <v>0</v>
      </c>
      <c r="K10" s="943">
        <f>tertiair!J16</f>
        <v>0</v>
      </c>
      <c r="L10" s="943">
        <f>tertiair!K16</f>
        <v>0</v>
      </c>
      <c r="M10" s="943">
        <f ca="1">tertiair!L16</f>
        <v>0</v>
      </c>
      <c r="N10" s="943">
        <f>tertiair!M16</f>
        <v>0</v>
      </c>
      <c r="O10" s="943">
        <f ca="1">tertiair!N16</f>
        <v>5389.5832483152271</v>
      </c>
      <c r="P10" s="943">
        <f>tertiair!O16</f>
        <v>1.5633333333333335</v>
      </c>
      <c r="Q10" s="944">
        <f>tertiair!P16</f>
        <v>95.333333333333343</v>
      </c>
      <c r="R10" s="629">
        <f ca="1">SUM(C10:Q10)</f>
        <v>58212.931926386664</v>
      </c>
      <c r="S10" s="67"/>
    </row>
    <row r="11" spans="1:19" s="438" customFormat="1">
      <c r="A11" s="737" t="s">
        <v>214</v>
      </c>
      <c r="B11" s="742"/>
      <c r="C11" s="943">
        <f>huishoudens!B8</f>
        <v>28018.328020506182</v>
      </c>
      <c r="D11" s="943">
        <f>huishoudens!C8</f>
        <v>0</v>
      </c>
      <c r="E11" s="943">
        <f>huishoudens!D8</f>
        <v>45984.267658428893</v>
      </c>
      <c r="F11" s="943">
        <f>huishoudens!E8</f>
        <v>1330.4002586631079</v>
      </c>
      <c r="G11" s="943">
        <f>huishoudens!F8</f>
        <v>41969.977571062358</v>
      </c>
      <c r="H11" s="943">
        <f>huishoudens!G8</f>
        <v>0</v>
      </c>
      <c r="I11" s="943">
        <f>huishoudens!H8</f>
        <v>0</v>
      </c>
      <c r="J11" s="943">
        <f>huishoudens!I8</f>
        <v>0</v>
      </c>
      <c r="K11" s="943">
        <f>huishoudens!J8</f>
        <v>978.73829148198593</v>
      </c>
      <c r="L11" s="943">
        <f>huishoudens!K8</f>
        <v>0</v>
      </c>
      <c r="M11" s="943">
        <f>huishoudens!L8</f>
        <v>0</v>
      </c>
      <c r="N11" s="943">
        <f>huishoudens!M8</f>
        <v>0</v>
      </c>
      <c r="O11" s="943">
        <f>huishoudens!N8</f>
        <v>6911.2641337902915</v>
      </c>
      <c r="P11" s="943">
        <f>huishoudens!O8</f>
        <v>178.22</v>
      </c>
      <c r="Q11" s="944">
        <f>huishoudens!P8</f>
        <v>591.06666666666661</v>
      </c>
      <c r="R11" s="629">
        <f>SUM(C11:Q11)</f>
        <v>125962.26260059948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53651.110700000005</v>
      </c>
      <c r="D13" s="943">
        <f>industrie!C18</f>
        <v>0</v>
      </c>
      <c r="E13" s="943">
        <f>industrie!D18</f>
        <v>22778.680452893172</v>
      </c>
      <c r="F13" s="943">
        <f>industrie!E18</f>
        <v>2513.6207928459244</v>
      </c>
      <c r="G13" s="943">
        <f>industrie!F18</f>
        <v>17146.845247790108</v>
      </c>
      <c r="H13" s="943">
        <f>industrie!G18</f>
        <v>0</v>
      </c>
      <c r="I13" s="943">
        <f>industrie!H18</f>
        <v>0</v>
      </c>
      <c r="J13" s="943">
        <f>industrie!I18</f>
        <v>0</v>
      </c>
      <c r="K13" s="943">
        <f>industrie!J18</f>
        <v>264.938459992378</v>
      </c>
      <c r="L13" s="943">
        <f>industrie!K18</f>
        <v>0</v>
      </c>
      <c r="M13" s="943">
        <f>industrie!L18</f>
        <v>0</v>
      </c>
      <c r="N13" s="943">
        <f>industrie!M18</f>
        <v>0</v>
      </c>
      <c r="O13" s="943">
        <f>industrie!N18</f>
        <v>4250.5273455257829</v>
      </c>
      <c r="P13" s="943">
        <f>industrie!O18</f>
        <v>0</v>
      </c>
      <c r="Q13" s="944">
        <f>industrie!P18</f>
        <v>0</v>
      </c>
      <c r="R13" s="629">
        <f>SUM(C13:Q13)</f>
        <v>100605.72299904736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109161.84581050619</v>
      </c>
      <c r="D16" s="661">
        <f t="shared" ref="D16:R16" ca="1" si="0">SUM(D9:D15)</f>
        <v>0</v>
      </c>
      <c r="E16" s="661">
        <f t="shared" ca="1" si="0"/>
        <v>83070.706772986523</v>
      </c>
      <c r="F16" s="661">
        <f t="shared" si="0"/>
        <v>4425.1301604711998</v>
      </c>
      <c r="G16" s="661">
        <f t="shared" ca="1" si="0"/>
        <v>69461.999969630619</v>
      </c>
      <c r="H16" s="661">
        <f t="shared" si="0"/>
        <v>0</v>
      </c>
      <c r="I16" s="661">
        <f t="shared" si="0"/>
        <v>0</v>
      </c>
      <c r="J16" s="661">
        <f t="shared" si="0"/>
        <v>0</v>
      </c>
      <c r="K16" s="661">
        <f t="shared" si="0"/>
        <v>1243.676751474364</v>
      </c>
      <c r="L16" s="661">
        <f t="shared" si="0"/>
        <v>0</v>
      </c>
      <c r="M16" s="661">
        <f t="shared" ca="1" si="0"/>
        <v>0</v>
      </c>
      <c r="N16" s="661">
        <f t="shared" si="0"/>
        <v>0</v>
      </c>
      <c r="O16" s="661">
        <f t="shared" ca="1" si="0"/>
        <v>16551.374727631301</v>
      </c>
      <c r="P16" s="661">
        <f t="shared" si="0"/>
        <v>179.78333333333333</v>
      </c>
      <c r="Q16" s="661">
        <f t="shared" si="0"/>
        <v>686.4</v>
      </c>
      <c r="R16" s="661">
        <f t="shared" ca="1" si="0"/>
        <v>284780.91752603353</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2.234606324269734</v>
      </c>
      <c r="D19" s="943">
        <f>transport!C54</f>
        <v>0</v>
      </c>
      <c r="E19" s="943">
        <f>transport!D54</f>
        <v>0</v>
      </c>
      <c r="F19" s="943">
        <f>transport!E54</f>
        <v>0</v>
      </c>
      <c r="G19" s="943">
        <f>transport!F54</f>
        <v>0</v>
      </c>
      <c r="H19" s="943">
        <f>transport!G54</f>
        <v>423.42842140603693</v>
      </c>
      <c r="I19" s="943">
        <f>transport!H54</f>
        <v>0</v>
      </c>
      <c r="J19" s="943">
        <f>transport!I54</f>
        <v>0</v>
      </c>
      <c r="K19" s="943">
        <f>transport!J54</f>
        <v>0</v>
      </c>
      <c r="L19" s="943">
        <f>transport!K54</f>
        <v>0</v>
      </c>
      <c r="M19" s="943">
        <f>transport!L54</f>
        <v>0</v>
      </c>
      <c r="N19" s="943">
        <f>transport!M54</f>
        <v>24.375942621866763</v>
      </c>
      <c r="O19" s="943">
        <f>transport!N54</f>
        <v>0</v>
      </c>
      <c r="P19" s="943">
        <f>transport!O54</f>
        <v>0</v>
      </c>
      <c r="Q19" s="944">
        <f>transport!P54</f>
        <v>0</v>
      </c>
      <c r="R19" s="629">
        <f>SUM(C19:Q19)</f>
        <v>450.03897035217346</v>
      </c>
      <c r="S19" s="67"/>
    </row>
    <row r="20" spans="1:19" s="438" customFormat="1">
      <c r="A20" s="737" t="s">
        <v>296</v>
      </c>
      <c r="B20" s="742"/>
      <c r="C20" s="943">
        <f>transport!B14</f>
        <v>11.53721922843642</v>
      </c>
      <c r="D20" s="943">
        <f>transport!C14</f>
        <v>0</v>
      </c>
      <c r="E20" s="943">
        <f>transport!D14</f>
        <v>23.133090463279164</v>
      </c>
      <c r="F20" s="943">
        <f>transport!E14</f>
        <v>217.26702408093072</v>
      </c>
      <c r="G20" s="943">
        <f>transport!F14</f>
        <v>0</v>
      </c>
      <c r="H20" s="943">
        <f>transport!G14</f>
        <v>60173.833026103261</v>
      </c>
      <c r="I20" s="943">
        <f>transport!H14</f>
        <v>13884.141304314788</v>
      </c>
      <c r="J20" s="943">
        <f>transport!I14</f>
        <v>0</v>
      </c>
      <c r="K20" s="943">
        <f>transport!J14</f>
        <v>0</v>
      </c>
      <c r="L20" s="943">
        <f>transport!K14</f>
        <v>0</v>
      </c>
      <c r="M20" s="943">
        <f>transport!L14</f>
        <v>0</v>
      </c>
      <c r="N20" s="943">
        <f>transport!M14</f>
        <v>3912.2135758400977</v>
      </c>
      <c r="O20" s="943">
        <f>transport!N14</f>
        <v>0</v>
      </c>
      <c r="P20" s="943">
        <f>transport!O14</f>
        <v>0</v>
      </c>
      <c r="Q20" s="944">
        <f>transport!P14</f>
        <v>0</v>
      </c>
      <c r="R20" s="629">
        <f>SUM(C20:Q20)</f>
        <v>78222.125240030786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13.771825552706154</v>
      </c>
      <c r="D22" s="740">
        <f t="shared" ref="D22:R22" si="1">SUM(D18:D21)</f>
        <v>0</v>
      </c>
      <c r="E22" s="740">
        <f t="shared" si="1"/>
        <v>23.133090463279164</v>
      </c>
      <c r="F22" s="740">
        <f t="shared" si="1"/>
        <v>217.26702408093072</v>
      </c>
      <c r="G22" s="740">
        <f t="shared" si="1"/>
        <v>0</v>
      </c>
      <c r="H22" s="740">
        <f t="shared" si="1"/>
        <v>60597.2614475093</v>
      </c>
      <c r="I22" s="740">
        <f t="shared" si="1"/>
        <v>13884.141304314788</v>
      </c>
      <c r="J22" s="740">
        <f t="shared" si="1"/>
        <v>0</v>
      </c>
      <c r="K22" s="740">
        <f t="shared" si="1"/>
        <v>0</v>
      </c>
      <c r="L22" s="740">
        <f t="shared" si="1"/>
        <v>0</v>
      </c>
      <c r="M22" s="740">
        <f t="shared" si="1"/>
        <v>0</v>
      </c>
      <c r="N22" s="740">
        <f t="shared" si="1"/>
        <v>3936.5895184619644</v>
      </c>
      <c r="O22" s="740">
        <f t="shared" si="1"/>
        <v>0</v>
      </c>
      <c r="P22" s="740">
        <f t="shared" si="1"/>
        <v>0</v>
      </c>
      <c r="Q22" s="740">
        <f t="shared" si="1"/>
        <v>0</v>
      </c>
      <c r="R22" s="740">
        <f t="shared" si="1"/>
        <v>78672.164210382965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683.83727999999996</v>
      </c>
      <c r="D24" s="943">
        <f>+landbouw!C8</f>
        <v>0</v>
      </c>
      <c r="E24" s="943">
        <f>+landbouw!D8</f>
        <v>339.69125342930278</v>
      </c>
      <c r="F24" s="943">
        <f>+landbouw!E8</f>
        <v>14.663891654000405</v>
      </c>
      <c r="G24" s="943">
        <f>+landbouw!F8</f>
        <v>2218.1490116562941</v>
      </c>
      <c r="H24" s="943">
        <f>+landbouw!G8</f>
        <v>0</v>
      </c>
      <c r="I24" s="943">
        <f>+landbouw!H8</f>
        <v>0</v>
      </c>
      <c r="J24" s="943">
        <f>+landbouw!I8</f>
        <v>0</v>
      </c>
      <c r="K24" s="943">
        <f>+landbouw!J8</f>
        <v>65.888083322601105</v>
      </c>
      <c r="L24" s="943">
        <f>+landbouw!K8</f>
        <v>0</v>
      </c>
      <c r="M24" s="943">
        <f>+landbouw!L8</f>
        <v>0</v>
      </c>
      <c r="N24" s="943">
        <f>+landbouw!M8</f>
        <v>0</v>
      </c>
      <c r="O24" s="943">
        <f>+landbouw!N8</f>
        <v>0</v>
      </c>
      <c r="P24" s="943">
        <f>+landbouw!O8</f>
        <v>0</v>
      </c>
      <c r="Q24" s="944">
        <f>+landbouw!P8</f>
        <v>0</v>
      </c>
      <c r="R24" s="629">
        <f>SUM(C24:Q24)</f>
        <v>3322.2295200621984</v>
      </c>
      <c r="S24" s="67"/>
    </row>
    <row r="25" spans="1:19" s="438" customFormat="1" ht="15" thickBot="1">
      <c r="A25" s="759" t="s">
        <v>802</v>
      </c>
      <c r="B25" s="946"/>
      <c r="C25" s="947">
        <f>IF(Onbekend_ele_kWh="---",0,Onbekend_ele_kWh)/1000+IF(REST_rest_ele_kWh="---",0,REST_rest_ele_kWh)/1000</f>
        <v>2146.6759999999999</v>
      </c>
      <c r="D25" s="947"/>
      <c r="E25" s="947">
        <f>IF(onbekend_gas_kWh="---",0,onbekend_gas_kWh)/1000+IF(REST_rest_gas_kWh="---",0,REST_rest_gas_kWh)/1000</f>
        <v>1348.2734440886099</v>
      </c>
      <c r="F25" s="947"/>
      <c r="G25" s="947"/>
      <c r="H25" s="947"/>
      <c r="I25" s="947"/>
      <c r="J25" s="947"/>
      <c r="K25" s="947"/>
      <c r="L25" s="947"/>
      <c r="M25" s="947"/>
      <c r="N25" s="947"/>
      <c r="O25" s="947"/>
      <c r="P25" s="947"/>
      <c r="Q25" s="948"/>
      <c r="R25" s="629">
        <f>SUM(C25:Q25)</f>
        <v>3494.9494440886101</v>
      </c>
      <c r="S25" s="67"/>
    </row>
    <row r="26" spans="1:19" s="438" customFormat="1" ht="15.75" thickBot="1">
      <c r="A26" s="634" t="s">
        <v>803</v>
      </c>
      <c r="B26" s="745"/>
      <c r="C26" s="740">
        <f>SUM(C24:C25)</f>
        <v>2830.5132800000001</v>
      </c>
      <c r="D26" s="740">
        <f t="shared" ref="D26:R26" si="2">SUM(D24:D25)</f>
        <v>0</v>
      </c>
      <c r="E26" s="740">
        <f t="shared" si="2"/>
        <v>1687.9646975179128</v>
      </c>
      <c r="F26" s="740">
        <f t="shared" si="2"/>
        <v>14.663891654000405</v>
      </c>
      <c r="G26" s="740">
        <f t="shared" si="2"/>
        <v>2218.1490116562941</v>
      </c>
      <c r="H26" s="740">
        <f t="shared" si="2"/>
        <v>0</v>
      </c>
      <c r="I26" s="740">
        <f t="shared" si="2"/>
        <v>0</v>
      </c>
      <c r="J26" s="740">
        <f t="shared" si="2"/>
        <v>0</v>
      </c>
      <c r="K26" s="740">
        <f t="shared" si="2"/>
        <v>65.888083322601105</v>
      </c>
      <c r="L26" s="740">
        <f t="shared" si="2"/>
        <v>0</v>
      </c>
      <c r="M26" s="740">
        <f t="shared" si="2"/>
        <v>0</v>
      </c>
      <c r="N26" s="740">
        <f t="shared" si="2"/>
        <v>0</v>
      </c>
      <c r="O26" s="740">
        <f t="shared" si="2"/>
        <v>0</v>
      </c>
      <c r="P26" s="740">
        <f t="shared" si="2"/>
        <v>0</v>
      </c>
      <c r="Q26" s="740">
        <f t="shared" si="2"/>
        <v>0</v>
      </c>
      <c r="R26" s="740">
        <f t="shared" si="2"/>
        <v>6817.1789641508085</v>
      </c>
      <c r="S26" s="67"/>
    </row>
    <row r="27" spans="1:19" s="438" customFormat="1" ht="17.25" thickTop="1" thickBot="1">
      <c r="A27" s="635" t="s">
        <v>109</v>
      </c>
      <c r="B27" s="733"/>
      <c r="C27" s="636">
        <f ca="1">C22+C16+C26</f>
        <v>112006.13091605889</v>
      </c>
      <c r="D27" s="636">
        <f t="shared" ref="D27:R27" ca="1" si="3">D22+D16+D26</f>
        <v>0</v>
      </c>
      <c r="E27" s="636">
        <f t="shared" ca="1" si="3"/>
        <v>84781.804560967706</v>
      </c>
      <c r="F27" s="636">
        <f t="shared" si="3"/>
        <v>4657.0610762061315</v>
      </c>
      <c r="G27" s="636">
        <f t="shared" ca="1" si="3"/>
        <v>71680.148981286911</v>
      </c>
      <c r="H27" s="636">
        <f t="shared" si="3"/>
        <v>60597.2614475093</v>
      </c>
      <c r="I27" s="636">
        <f t="shared" si="3"/>
        <v>13884.141304314788</v>
      </c>
      <c r="J27" s="636">
        <f t="shared" si="3"/>
        <v>0</v>
      </c>
      <c r="K27" s="636">
        <f t="shared" si="3"/>
        <v>1309.564834796965</v>
      </c>
      <c r="L27" s="636">
        <f t="shared" si="3"/>
        <v>0</v>
      </c>
      <c r="M27" s="636">
        <f t="shared" ca="1" si="3"/>
        <v>0</v>
      </c>
      <c r="N27" s="636">
        <f t="shared" si="3"/>
        <v>3936.5895184619644</v>
      </c>
      <c r="O27" s="636">
        <f t="shared" ca="1" si="3"/>
        <v>16551.374727631301</v>
      </c>
      <c r="P27" s="636">
        <f t="shared" si="3"/>
        <v>179.78333333333333</v>
      </c>
      <c r="Q27" s="636">
        <f t="shared" si="3"/>
        <v>686.4</v>
      </c>
      <c r="R27" s="636">
        <f t="shared" ca="1" si="3"/>
        <v>370270.26070056733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5718.0391131783135</v>
      </c>
      <c r="D40" s="943">
        <f ca="1">tertiair!C20</f>
        <v>0</v>
      </c>
      <c r="E40" s="943">
        <f ca="1">tertiair!D20</f>
        <v>2890.1672496562205</v>
      </c>
      <c r="F40" s="943">
        <f>tertiair!E20</f>
        <v>131.91176773441205</v>
      </c>
      <c r="G40" s="943">
        <f ca="1">tertiair!F20</f>
        <v>2762.1622992577654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11502.280429826713</v>
      </c>
    </row>
    <row r="41" spans="1:18">
      <c r="A41" s="750" t="s">
        <v>214</v>
      </c>
      <c r="B41" s="757"/>
      <c r="C41" s="943">
        <f ca="1">huishoudens!B12</f>
        <v>5827.4233675736787</v>
      </c>
      <c r="D41" s="943">
        <f ca="1">huishoudens!C12</f>
        <v>0</v>
      </c>
      <c r="E41" s="943">
        <f>huishoudens!D12</f>
        <v>9288.8220670026367</v>
      </c>
      <c r="F41" s="943">
        <f>huishoudens!E12</f>
        <v>302.0008587165255</v>
      </c>
      <c r="G41" s="943">
        <f>huishoudens!F12</f>
        <v>11205.984011473651</v>
      </c>
      <c r="H41" s="943">
        <f>huishoudens!G12</f>
        <v>0</v>
      </c>
      <c r="I41" s="943">
        <f>huishoudens!H12</f>
        <v>0</v>
      </c>
      <c r="J41" s="943">
        <f>huishoudens!I12</f>
        <v>0</v>
      </c>
      <c r="K41" s="943">
        <f>huishoudens!J12</f>
        <v>346.47335518462302</v>
      </c>
      <c r="L41" s="943">
        <f>huishoudens!K12</f>
        <v>0</v>
      </c>
      <c r="M41" s="943">
        <f>huishoudens!L12</f>
        <v>0</v>
      </c>
      <c r="N41" s="943">
        <f>huishoudens!M12</f>
        <v>0</v>
      </c>
      <c r="O41" s="943">
        <f>huishoudens!N12</f>
        <v>0</v>
      </c>
      <c r="P41" s="943">
        <f>huishoudens!O12</f>
        <v>0</v>
      </c>
      <c r="Q41" s="703">
        <f>huishoudens!P12</f>
        <v>0</v>
      </c>
      <c r="R41" s="778">
        <f t="shared" ca="1" si="4"/>
        <v>26970.703659951112</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11158.686412716712</v>
      </c>
      <c r="D43" s="943">
        <f ca="1">industrie!C22</f>
        <v>0</v>
      </c>
      <c r="E43" s="943">
        <f>industrie!D22</f>
        <v>4601.293451484421</v>
      </c>
      <c r="F43" s="943">
        <f>industrie!E22</f>
        <v>570.59191997602488</v>
      </c>
      <c r="G43" s="943">
        <f>industrie!F22</f>
        <v>4578.2076811599591</v>
      </c>
      <c r="H43" s="943">
        <f>industrie!G22</f>
        <v>0</v>
      </c>
      <c r="I43" s="943">
        <f>industrie!H22</f>
        <v>0</v>
      </c>
      <c r="J43" s="943">
        <f>industrie!I22</f>
        <v>0</v>
      </c>
      <c r="K43" s="943">
        <f>industrie!J22</f>
        <v>93.788214837301808</v>
      </c>
      <c r="L43" s="943">
        <f>industrie!K22</f>
        <v>0</v>
      </c>
      <c r="M43" s="943">
        <f>industrie!L22</f>
        <v>0</v>
      </c>
      <c r="N43" s="943">
        <f>industrie!M22</f>
        <v>0</v>
      </c>
      <c r="O43" s="943">
        <f>industrie!N22</f>
        <v>0</v>
      </c>
      <c r="P43" s="943">
        <f>industrie!O22</f>
        <v>0</v>
      </c>
      <c r="Q43" s="703">
        <f>industrie!P22</f>
        <v>0</v>
      </c>
      <c r="R43" s="777">
        <f t="shared" ca="1" si="4"/>
        <v>21002.567680174419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22704.148893468704</v>
      </c>
      <c r="D46" s="661">
        <f t="shared" ref="D46:Q46" ca="1" si="5">SUM(D39:D45)</f>
        <v>0</v>
      </c>
      <c r="E46" s="661">
        <f t="shared" ca="1" si="5"/>
        <v>16780.282768143279</v>
      </c>
      <c r="F46" s="661">
        <f t="shared" si="5"/>
        <v>1004.5045464269624</v>
      </c>
      <c r="G46" s="661">
        <f t="shared" ca="1" si="5"/>
        <v>18546.353991891374</v>
      </c>
      <c r="H46" s="661">
        <f t="shared" si="5"/>
        <v>0</v>
      </c>
      <c r="I46" s="661">
        <f t="shared" si="5"/>
        <v>0</v>
      </c>
      <c r="J46" s="661">
        <f t="shared" si="5"/>
        <v>0</v>
      </c>
      <c r="K46" s="661">
        <f t="shared" si="5"/>
        <v>440.26157002192485</v>
      </c>
      <c r="L46" s="661">
        <f t="shared" si="5"/>
        <v>0</v>
      </c>
      <c r="M46" s="661">
        <f t="shared" ca="1" si="5"/>
        <v>0</v>
      </c>
      <c r="N46" s="661">
        <f t="shared" si="5"/>
        <v>0</v>
      </c>
      <c r="O46" s="661">
        <f t="shared" ca="1" si="5"/>
        <v>0</v>
      </c>
      <c r="P46" s="661">
        <f t="shared" si="5"/>
        <v>0</v>
      </c>
      <c r="Q46" s="661">
        <f t="shared" si="5"/>
        <v>0</v>
      </c>
      <c r="R46" s="661">
        <f ca="1">SUM(R39:R45)</f>
        <v>59475.551769952246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0.46476710180017788</v>
      </c>
      <c r="D49" s="943">
        <f ca="1">transport!C58</f>
        <v>0</v>
      </c>
      <c r="E49" s="943">
        <f>transport!D58</f>
        <v>0</v>
      </c>
      <c r="F49" s="943">
        <f>transport!E58</f>
        <v>0</v>
      </c>
      <c r="G49" s="943">
        <f>transport!F58</f>
        <v>0</v>
      </c>
      <c r="H49" s="943">
        <f>transport!G58</f>
        <v>113.05538851541186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113.52015561721204</v>
      </c>
    </row>
    <row r="50" spans="1:18">
      <c r="A50" s="753" t="s">
        <v>296</v>
      </c>
      <c r="B50" s="763"/>
      <c r="C50" s="632">
        <f ca="1">transport!B18</f>
        <v>2.3995814767892112</v>
      </c>
      <c r="D50" s="632">
        <f>transport!C18</f>
        <v>0</v>
      </c>
      <c r="E50" s="632">
        <f>transport!D18</f>
        <v>4.6728842735823912</v>
      </c>
      <c r="F50" s="632">
        <f>transport!E18</f>
        <v>49.319614466371277</v>
      </c>
      <c r="G50" s="632">
        <f>transport!F18</f>
        <v>0</v>
      </c>
      <c r="H50" s="632">
        <f>transport!G18</f>
        <v>16066.413417969572</v>
      </c>
      <c r="I50" s="632">
        <f>transport!H18</f>
        <v>3457.1511847743823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19579.956682960699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2.864348578589389</v>
      </c>
      <c r="D52" s="661">
        <f t="shared" ref="D52:Q52" ca="1" si="6">SUM(D48:D51)</f>
        <v>0</v>
      </c>
      <c r="E52" s="661">
        <f t="shared" si="6"/>
        <v>4.6728842735823912</v>
      </c>
      <c r="F52" s="661">
        <f t="shared" si="6"/>
        <v>49.319614466371277</v>
      </c>
      <c r="G52" s="661">
        <f t="shared" si="6"/>
        <v>0</v>
      </c>
      <c r="H52" s="661">
        <f t="shared" si="6"/>
        <v>16179.468806484983</v>
      </c>
      <c r="I52" s="661">
        <f t="shared" si="6"/>
        <v>3457.1511847743823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19693.47683857791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142.22866340109437</v>
      </c>
      <c r="D54" s="632">
        <f ca="1">+landbouw!C12</f>
        <v>0</v>
      </c>
      <c r="E54" s="632">
        <f>+landbouw!D12</f>
        <v>68.617633192719168</v>
      </c>
      <c r="F54" s="632">
        <f>+landbouw!E12</f>
        <v>3.328703405458092</v>
      </c>
      <c r="G54" s="632">
        <f>+landbouw!F12</f>
        <v>592.24578611223058</v>
      </c>
      <c r="H54" s="632">
        <f>+landbouw!G12</f>
        <v>0</v>
      </c>
      <c r="I54" s="632">
        <f>+landbouw!H12</f>
        <v>0</v>
      </c>
      <c r="J54" s="632">
        <f>+landbouw!I12</f>
        <v>0</v>
      </c>
      <c r="K54" s="632">
        <f>+landbouw!J12</f>
        <v>23.32438149620079</v>
      </c>
      <c r="L54" s="632">
        <f>+landbouw!K12</f>
        <v>0</v>
      </c>
      <c r="M54" s="632">
        <f>+landbouw!L12</f>
        <v>0</v>
      </c>
      <c r="N54" s="632">
        <f>+landbouw!M12</f>
        <v>0</v>
      </c>
      <c r="O54" s="632">
        <f>+landbouw!N12</f>
        <v>0</v>
      </c>
      <c r="P54" s="632">
        <f>+landbouw!O12</f>
        <v>0</v>
      </c>
      <c r="Q54" s="633">
        <f>+landbouw!P12</f>
        <v>0</v>
      </c>
      <c r="R54" s="660">
        <f ca="1">SUM(C54:Q54)</f>
        <v>829.74516760770291</v>
      </c>
    </row>
    <row r="55" spans="1:18" ht="15" thickBot="1">
      <c r="A55" s="753" t="s">
        <v>802</v>
      </c>
      <c r="B55" s="763"/>
      <c r="C55" s="632">
        <f ca="1">C25*'EF ele_warmte'!B12</f>
        <v>446.47881471920874</v>
      </c>
      <c r="D55" s="632"/>
      <c r="E55" s="632">
        <f>E25*EF_CO2_aardgas</f>
        <v>272.35123570589923</v>
      </c>
      <c r="F55" s="632"/>
      <c r="G55" s="632"/>
      <c r="H55" s="632"/>
      <c r="I55" s="632"/>
      <c r="J55" s="632"/>
      <c r="K55" s="632"/>
      <c r="L55" s="632"/>
      <c r="M55" s="632"/>
      <c r="N55" s="632"/>
      <c r="O55" s="632"/>
      <c r="P55" s="632"/>
      <c r="Q55" s="633"/>
      <c r="R55" s="660">
        <f ca="1">SUM(C55:Q55)</f>
        <v>718.83005042510797</v>
      </c>
    </row>
    <row r="56" spans="1:18" ht="15.75" thickBot="1">
      <c r="A56" s="751" t="s">
        <v>803</v>
      </c>
      <c r="B56" s="764"/>
      <c r="C56" s="661">
        <f ca="1">SUM(C54:C55)</f>
        <v>588.70747812030311</v>
      </c>
      <c r="D56" s="661">
        <f t="shared" ref="D56:Q56" ca="1" si="7">SUM(D54:D55)</f>
        <v>0</v>
      </c>
      <c r="E56" s="661">
        <f t="shared" si="7"/>
        <v>340.96886889861838</v>
      </c>
      <c r="F56" s="661">
        <f t="shared" si="7"/>
        <v>3.328703405458092</v>
      </c>
      <c r="G56" s="661">
        <f t="shared" si="7"/>
        <v>592.24578611223058</v>
      </c>
      <c r="H56" s="661">
        <f t="shared" si="7"/>
        <v>0</v>
      </c>
      <c r="I56" s="661">
        <f t="shared" si="7"/>
        <v>0</v>
      </c>
      <c r="J56" s="661">
        <f t="shared" si="7"/>
        <v>0</v>
      </c>
      <c r="K56" s="661">
        <f t="shared" si="7"/>
        <v>23.32438149620079</v>
      </c>
      <c r="L56" s="661">
        <f t="shared" si="7"/>
        <v>0</v>
      </c>
      <c r="M56" s="661">
        <f t="shared" si="7"/>
        <v>0</v>
      </c>
      <c r="N56" s="661">
        <f t="shared" si="7"/>
        <v>0</v>
      </c>
      <c r="O56" s="661">
        <f t="shared" si="7"/>
        <v>0</v>
      </c>
      <c r="P56" s="661">
        <f t="shared" si="7"/>
        <v>0</v>
      </c>
      <c r="Q56" s="662">
        <f t="shared" si="7"/>
        <v>0</v>
      </c>
      <c r="R56" s="663">
        <f ca="1">SUM(R54:R55)</f>
        <v>1548.5752180328109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23295.720720167599</v>
      </c>
      <c r="D61" s="669">
        <f t="shared" ref="D61:Q61" ca="1" si="8">D46+D52+D56</f>
        <v>0</v>
      </c>
      <c r="E61" s="669">
        <f t="shared" ca="1" si="8"/>
        <v>17125.924521315479</v>
      </c>
      <c r="F61" s="669">
        <f t="shared" si="8"/>
        <v>1057.1528642987919</v>
      </c>
      <c r="G61" s="669">
        <f t="shared" ca="1" si="8"/>
        <v>19138.599778003605</v>
      </c>
      <c r="H61" s="669">
        <f t="shared" si="8"/>
        <v>16179.468806484983</v>
      </c>
      <c r="I61" s="669">
        <f t="shared" si="8"/>
        <v>3457.1511847743823</v>
      </c>
      <c r="J61" s="669">
        <f t="shared" si="8"/>
        <v>0</v>
      </c>
      <c r="K61" s="669">
        <f t="shared" si="8"/>
        <v>463.58595151812563</v>
      </c>
      <c r="L61" s="669">
        <f t="shared" si="8"/>
        <v>0</v>
      </c>
      <c r="M61" s="669">
        <f t="shared" ca="1" si="8"/>
        <v>0</v>
      </c>
      <c r="N61" s="669">
        <f t="shared" si="8"/>
        <v>0</v>
      </c>
      <c r="O61" s="669">
        <f t="shared" ca="1" si="8"/>
        <v>0</v>
      </c>
      <c r="P61" s="669">
        <f t="shared" si="8"/>
        <v>0</v>
      </c>
      <c r="Q61" s="669">
        <f t="shared" si="8"/>
        <v>0</v>
      </c>
      <c r="R61" s="669">
        <f ca="1">R46+R52+R56</f>
        <v>80717.603826562961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0.20798612120283116</v>
      </c>
      <c r="D63" s="710">
        <f t="shared" ca="1" si="9"/>
        <v>0</v>
      </c>
      <c r="E63" s="954">
        <f t="shared" ca="1" si="9"/>
        <v>0.20200000000000004</v>
      </c>
      <c r="F63" s="710">
        <f t="shared" si="9"/>
        <v>0.22700000000000001</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6595.6299198254237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6595.6299198254237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28018.328020506182</v>
      </c>
      <c r="C4" s="442">
        <f>huishoudens!C8</f>
        <v>0</v>
      </c>
      <c r="D4" s="442">
        <f>huishoudens!D8</f>
        <v>45984.267658428893</v>
      </c>
      <c r="E4" s="442">
        <f>huishoudens!E8</f>
        <v>1330.4002586631079</v>
      </c>
      <c r="F4" s="442">
        <f>huishoudens!F8</f>
        <v>41969.977571062358</v>
      </c>
      <c r="G4" s="442">
        <f>huishoudens!G8</f>
        <v>0</v>
      </c>
      <c r="H4" s="442">
        <f>huishoudens!H8</f>
        <v>0</v>
      </c>
      <c r="I4" s="442">
        <f>huishoudens!I8</f>
        <v>0</v>
      </c>
      <c r="J4" s="442">
        <f>huishoudens!J8</f>
        <v>978.73829148198593</v>
      </c>
      <c r="K4" s="442">
        <f>huishoudens!K8</f>
        <v>0</v>
      </c>
      <c r="L4" s="442">
        <f>huishoudens!L8</f>
        <v>0</v>
      </c>
      <c r="M4" s="442">
        <f>huishoudens!M8</f>
        <v>0</v>
      </c>
      <c r="N4" s="442">
        <f>huishoudens!N8</f>
        <v>6911.2641337902915</v>
      </c>
      <c r="O4" s="442">
        <f>huishoudens!O8</f>
        <v>178.22</v>
      </c>
      <c r="P4" s="443">
        <f>huishoudens!P8</f>
        <v>591.06666666666661</v>
      </c>
      <c r="Q4" s="444">
        <f>SUM(B4:P4)</f>
        <v>125962.26260059948</v>
      </c>
    </row>
    <row r="5" spans="1:17">
      <c r="A5" s="441" t="s">
        <v>149</v>
      </c>
      <c r="B5" s="442">
        <f ca="1">tertiair!B16</f>
        <v>26609.289089999998</v>
      </c>
      <c r="C5" s="442">
        <f ca="1">tertiair!C16</f>
        <v>0</v>
      </c>
      <c r="D5" s="442">
        <f ca="1">tertiair!D16</f>
        <v>14307.758661664457</v>
      </c>
      <c r="E5" s="442">
        <f>tertiair!E16</f>
        <v>581.10910896216762</v>
      </c>
      <c r="F5" s="442">
        <f ca="1">tertiair!F16</f>
        <v>10345.177150778147</v>
      </c>
      <c r="G5" s="442">
        <f>tertiair!G16</f>
        <v>0</v>
      </c>
      <c r="H5" s="442">
        <f>tertiair!H16</f>
        <v>0</v>
      </c>
      <c r="I5" s="442">
        <f>tertiair!I16</f>
        <v>0</v>
      </c>
      <c r="J5" s="442">
        <f>tertiair!J16</f>
        <v>0</v>
      </c>
      <c r="K5" s="442">
        <f>tertiair!K16</f>
        <v>0</v>
      </c>
      <c r="L5" s="442">
        <f ca="1">tertiair!L16</f>
        <v>0</v>
      </c>
      <c r="M5" s="442">
        <f>tertiair!M16</f>
        <v>0</v>
      </c>
      <c r="N5" s="442">
        <f ca="1">tertiair!N16</f>
        <v>5389.5832483152271</v>
      </c>
      <c r="O5" s="442">
        <f>tertiair!O16</f>
        <v>1.5633333333333335</v>
      </c>
      <c r="P5" s="443">
        <f>tertiair!P16</f>
        <v>95.333333333333343</v>
      </c>
      <c r="Q5" s="441">
        <f t="shared" ref="Q5:Q14" ca="1" si="0">SUM(B5:P5)</f>
        <v>57329.813926386661</v>
      </c>
    </row>
    <row r="6" spans="1:17">
      <c r="A6" s="441" t="s">
        <v>187</v>
      </c>
      <c r="B6" s="442">
        <f>'openbare verlichting'!B8</f>
        <v>883.11800000000005</v>
      </c>
      <c r="C6" s="442"/>
      <c r="D6" s="442"/>
      <c r="E6" s="442"/>
      <c r="F6" s="442"/>
      <c r="G6" s="442"/>
      <c r="H6" s="442"/>
      <c r="I6" s="442"/>
      <c r="J6" s="442"/>
      <c r="K6" s="442"/>
      <c r="L6" s="442"/>
      <c r="M6" s="442"/>
      <c r="N6" s="442"/>
      <c r="O6" s="442"/>
      <c r="P6" s="443"/>
      <c r="Q6" s="441">
        <f t="shared" si="0"/>
        <v>883.11800000000005</v>
      </c>
    </row>
    <row r="7" spans="1:17">
      <c r="A7" s="441" t="s">
        <v>105</v>
      </c>
      <c r="B7" s="442">
        <f>landbouw!B8</f>
        <v>683.83727999999996</v>
      </c>
      <c r="C7" s="442">
        <f>landbouw!C8</f>
        <v>0</v>
      </c>
      <c r="D7" s="442">
        <f>landbouw!D8</f>
        <v>339.69125342930278</v>
      </c>
      <c r="E7" s="442">
        <f>landbouw!E8</f>
        <v>14.663891654000405</v>
      </c>
      <c r="F7" s="442">
        <f>landbouw!F8</f>
        <v>2218.1490116562941</v>
      </c>
      <c r="G7" s="442">
        <f>landbouw!G8</f>
        <v>0</v>
      </c>
      <c r="H7" s="442">
        <f>landbouw!H8</f>
        <v>0</v>
      </c>
      <c r="I7" s="442">
        <f>landbouw!I8</f>
        <v>0</v>
      </c>
      <c r="J7" s="442">
        <f>landbouw!J8</f>
        <v>65.888083322601105</v>
      </c>
      <c r="K7" s="442">
        <f>landbouw!K8</f>
        <v>0</v>
      </c>
      <c r="L7" s="442">
        <f>landbouw!L8</f>
        <v>0</v>
      </c>
      <c r="M7" s="442">
        <f>landbouw!M8</f>
        <v>0</v>
      </c>
      <c r="N7" s="442">
        <f>landbouw!N8</f>
        <v>0</v>
      </c>
      <c r="O7" s="442">
        <f>landbouw!O8</f>
        <v>0</v>
      </c>
      <c r="P7" s="443">
        <f>landbouw!P8</f>
        <v>0</v>
      </c>
      <c r="Q7" s="441">
        <f t="shared" si="0"/>
        <v>3322.2295200621984</v>
      </c>
    </row>
    <row r="8" spans="1:17">
      <c r="A8" s="441" t="s">
        <v>612</v>
      </c>
      <c r="B8" s="442">
        <f>industrie!B18</f>
        <v>53651.110700000005</v>
      </c>
      <c r="C8" s="442">
        <f>industrie!C18</f>
        <v>0</v>
      </c>
      <c r="D8" s="442">
        <f>industrie!D18</f>
        <v>22778.680452893172</v>
      </c>
      <c r="E8" s="442">
        <f>industrie!E18</f>
        <v>2513.6207928459244</v>
      </c>
      <c r="F8" s="442">
        <f>industrie!F18</f>
        <v>17146.845247790108</v>
      </c>
      <c r="G8" s="442">
        <f>industrie!G18</f>
        <v>0</v>
      </c>
      <c r="H8" s="442">
        <f>industrie!H18</f>
        <v>0</v>
      </c>
      <c r="I8" s="442">
        <f>industrie!I18</f>
        <v>0</v>
      </c>
      <c r="J8" s="442">
        <f>industrie!J18</f>
        <v>264.938459992378</v>
      </c>
      <c r="K8" s="442">
        <f>industrie!K18</f>
        <v>0</v>
      </c>
      <c r="L8" s="442">
        <f>industrie!L18</f>
        <v>0</v>
      </c>
      <c r="M8" s="442">
        <f>industrie!M18</f>
        <v>0</v>
      </c>
      <c r="N8" s="442">
        <f>industrie!N18</f>
        <v>4250.5273455257829</v>
      </c>
      <c r="O8" s="442">
        <f>industrie!O18</f>
        <v>0</v>
      </c>
      <c r="P8" s="443">
        <f>industrie!P18</f>
        <v>0</v>
      </c>
      <c r="Q8" s="441">
        <f t="shared" si="0"/>
        <v>100605.72299904736</v>
      </c>
    </row>
    <row r="9" spans="1:17" s="447" customFormat="1">
      <c r="A9" s="445" t="s">
        <v>556</v>
      </c>
      <c r="B9" s="446">
        <f>transport!B14</f>
        <v>11.53721922843642</v>
      </c>
      <c r="C9" s="446">
        <f>transport!C14</f>
        <v>0</v>
      </c>
      <c r="D9" s="446">
        <f>transport!D14</f>
        <v>23.133090463279164</v>
      </c>
      <c r="E9" s="446">
        <f>transport!E14</f>
        <v>217.26702408093072</v>
      </c>
      <c r="F9" s="446">
        <f>transport!F14</f>
        <v>0</v>
      </c>
      <c r="G9" s="446">
        <f>transport!G14</f>
        <v>60173.833026103261</v>
      </c>
      <c r="H9" s="446">
        <f>transport!H14</f>
        <v>13884.141304314788</v>
      </c>
      <c r="I9" s="446">
        <f>transport!I14</f>
        <v>0</v>
      </c>
      <c r="J9" s="446">
        <f>transport!J14</f>
        <v>0</v>
      </c>
      <c r="K9" s="446">
        <f>transport!K14</f>
        <v>0</v>
      </c>
      <c r="L9" s="446">
        <f>transport!L14</f>
        <v>0</v>
      </c>
      <c r="M9" s="446">
        <f>transport!M14</f>
        <v>3912.2135758400977</v>
      </c>
      <c r="N9" s="446">
        <f>transport!N14</f>
        <v>0</v>
      </c>
      <c r="O9" s="446">
        <f>transport!O14</f>
        <v>0</v>
      </c>
      <c r="P9" s="446">
        <f>transport!P14</f>
        <v>0</v>
      </c>
      <c r="Q9" s="445">
        <f>SUM(B9:P9)</f>
        <v>78222.125240030786</v>
      </c>
    </row>
    <row r="10" spans="1:17">
      <c r="A10" s="441" t="s">
        <v>546</v>
      </c>
      <c r="B10" s="442">
        <f>transport!B54</f>
        <v>2.234606324269734</v>
      </c>
      <c r="C10" s="442">
        <f>transport!C54</f>
        <v>0</v>
      </c>
      <c r="D10" s="442">
        <f>transport!D54</f>
        <v>0</v>
      </c>
      <c r="E10" s="442">
        <f>transport!E54</f>
        <v>0</v>
      </c>
      <c r="F10" s="442">
        <f>transport!F54</f>
        <v>0</v>
      </c>
      <c r="G10" s="442">
        <f>transport!G54</f>
        <v>423.42842140603693</v>
      </c>
      <c r="H10" s="442">
        <f>transport!H54</f>
        <v>0</v>
      </c>
      <c r="I10" s="442">
        <f>transport!I54</f>
        <v>0</v>
      </c>
      <c r="J10" s="442">
        <f>transport!J54</f>
        <v>0</v>
      </c>
      <c r="K10" s="442">
        <f>transport!K54</f>
        <v>0</v>
      </c>
      <c r="L10" s="442">
        <f>transport!L54</f>
        <v>0</v>
      </c>
      <c r="M10" s="442">
        <f>transport!M54</f>
        <v>24.375942621866763</v>
      </c>
      <c r="N10" s="442">
        <f>transport!N54</f>
        <v>0</v>
      </c>
      <c r="O10" s="442">
        <f>transport!O54</f>
        <v>0</v>
      </c>
      <c r="P10" s="443">
        <f>transport!P54</f>
        <v>0</v>
      </c>
      <c r="Q10" s="441">
        <f t="shared" si="0"/>
        <v>450.03897035217346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2146.6759999999999</v>
      </c>
      <c r="C14" s="449"/>
      <c r="D14" s="449">
        <f>'SEAP template'!E25</f>
        <v>1348.2734440886099</v>
      </c>
      <c r="E14" s="449"/>
      <c r="F14" s="449"/>
      <c r="G14" s="449"/>
      <c r="H14" s="449"/>
      <c r="I14" s="449"/>
      <c r="J14" s="449"/>
      <c r="K14" s="449"/>
      <c r="L14" s="449"/>
      <c r="M14" s="449"/>
      <c r="N14" s="449"/>
      <c r="O14" s="449"/>
      <c r="P14" s="450"/>
      <c r="Q14" s="441">
        <f t="shared" si="0"/>
        <v>3494.9494440886101</v>
      </c>
    </row>
    <row r="15" spans="1:17" s="451" customFormat="1">
      <c r="A15" s="969" t="s">
        <v>550</v>
      </c>
      <c r="B15" s="909">
        <f ca="1">SUM(B4:B14)</f>
        <v>112006.1309160589</v>
      </c>
      <c r="C15" s="909">
        <f t="shared" ref="C15:Q15" ca="1" si="1">SUM(C4:C14)</f>
        <v>0</v>
      </c>
      <c r="D15" s="909">
        <f t="shared" ca="1" si="1"/>
        <v>84781.804560967706</v>
      </c>
      <c r="E15" s="909">
        <f t="shared" si="1"/>
        <v>4657.0610762061315</v>
      </c>
      <c r="F15" s="909">
        <f t="shared" ca="1" si="1"/>
        <v>71680.148981286911</v>
      </c>
      <c r="G15" s="909">
        <f t="shared" si="1"/>
        <v>60597.2614475093</v>
      </c>
      <c r="H15" s="909">
        <f t="shared" si="1"/>
        <v>13884.141304314788</v>
      </c>
      <c r="I15" s="909">
        <f t="shared" si="1"/>
        <v>0</v>
      </c>
      <c r="J15" s="909">
        <f t="shared" si="1"/>
        <v>1309.564834796965</v>
      </c>
      <c r="K15" s="909">
        <f t="shared" si="1"/>
        <v>0</v>
      </c>
      <c r="L15" s="909">
        <f t="shared" ca="1" si="1"/>
        <v>0</v>
      </c>
      <c r="M15" s="909">
        <f t="shared" si="1"/>
        <v>3936.5895184619644</v>
      </c>
      <c r="N15" s="909">
        <f t="shared" ca="1" si="1"/>
        <v>16551.374727631301</v>
      </c>
      <c r="O15" s="909">
        <f t="shared" si="1"/>
        <v>179.78333333333333</v>
      </c>
      <c r="P15" s="909">
        <f t="shared" si="1"/>
        <v>686.4</v>
      </c>
      <c r="Q15" s="909">
        <f t="shared" ca="1" si="1"/>
        <v>370270.26070056728</v>
      </c>
    </row>
    <row r="17" spans="1:17">
      <c r="A17" s="452" t="s">
        <v>551</v>
      </c>
      <c r="B17" s="715">
        <f ca="1">huishoudens!B10</f>
        <v>0.20798612120283114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5827.4233675736787</v>
      </c>
      <c r="C22" s="442">
        <f t="shared" ref="C22:C32" ca="1" si="3">C4*$C$17</f>
        <v>0</v>
      </c>
      <c r="D22" s="442">
        <f t="shared" ref="D22:D32" si="4">D4*$D$17</f>
        <v>9288.8220670026367</v>
      </c>
      <c r="E22" s="442">
        <f t="shared" ref="E22:E32" si="5">E4*$E$17</f>
        <v>302.0008587165255</v>
      </c>
      <c r="F22" s="442">
        <f t="shared" ref="F22:F32" si="6">F4*$F$17</f>
        <v>11205.984011473651</v>
      </c>
      <c r="G22" s="442">
        <f t="shared" ref="G22:G32" si="7">G4*$G$17</f>
        <v>0</v>
      </c>
      <c r="H22" s="442">
        <f t="shared" ref="H22:H32" si="8">H4*$H$17</f>
        <v>0</v>
      </c>
      <c r="I22" s="442">
        <f t="shared" ref="I22:I32" si="9">I4*$I$17</f>
        <v>0</v>
      </c>
      <c r="J22" s="442">
        <f t="shared" ref="J22:J32" si="10">J4*$J$17</f>
        <v>346.47335518462302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26970.703659951112</v>
      </c>
    </row>
    <row r="23" spans="1:17">
      <c r="A23" s="441" t="s">
        <v>149</v>
      </c>
      <c r="B23" s="442">
        <f t="shared" ca="1" si="2"/>
        <v>5534.3628257939117</v>
      </c>
      <c r="C23" s="442">
        <f t="shared" ca="1" si="3"/>
        <v>0</v>
      </c>
      <c r="D23" s="442">
        <f t="shared" ca="1" si="4"/>
        <v>2890.1672496562205</v>
      </c>
      <c r="E23" s="442">
        <f t="shared" si="5"/>
        <v>131.91176773441205</v>
      </c>
      <c r="F23" s="442">
        <f t="shared" ca="1" si="6"/>
        <v>2762.1622992577654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11318.604142442311</v>
      </c>
    </row>
    <row r="24" spans="1:17">
      <c r="A24" s="441" t="s">
        <v>187</v>
      </c>
      <c r="B24" s="442">
        <f t="shared" ca="1" si="2"/>
        <v>183.67628738440183</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183.67628738440183</v>
      </c>
    </row>
    <row r="25" spans="1:17">
      <c r="A25" s="441" t="s">
        <v>105</v>
      </c>
      <c r="B25" s="442">
        <f t="shared" ca="1" si="2"/>
        <v>142.22866340109437</v>
      </c>
      <c r="C25" s="442">
        <f t="shared" ca="1" si="3"/>
        <v>0</v>
      </c>
      <c r="D25" s="442">
        <f t="shared" si="4"/>
        <v>68.617633192719168</v>
      </c>
      <c r="E25" s="442">
        <f t="shared" si="5"/>
        <v>3.328703405458092</v>
      </c>
      <c r="F25" s="442">
        <f t="shared" si="6"/>
        <v>592.24578611223058</v>
      </c>
      <c r="G25" s="442">
        <f t="shared" si="7"/>
        <v>0</v>
      </c>
      <c r="H25" s="442">
        <f t="shared" si="8"/>
        <v>0</v>
      </c>
      <c r="I25" s="442">
        <f t="shared" si="9"/>
        <v>0</v>
      </c>
      <c r="J25" s="442">
        <f t="shared" si="10"/>
        <v>23.32438149620079</v>
      </c>
      <c r="K25" s="442">
        <f t="shared" si="11"/>
        <v>0</v>
      </c>
      <c r="L25" s="442">
        <f t="shared" si="12"/>
        <v>0</v>
      </c>
      <c r="M25" s="442">
        <f t="shared" si="13"/>
        <v>0</v>
      </c>
      <c r="N25" s="442">
        <f t="shared" si="14"/>
        <v>0</v>
      </c>
      <c r="O25" s="442">
        <f t="shared" si="15"/>
        <v>0</v>
      </c>
      <c r="P25" s="443">
        <f t="shared" si="16"/>
        <v>0</v>
      </c>
      <c r="Q25" s="441">
        <f t="shared" ca="1" si="17"/>
        <v>829.74516760770291</v>
      </c>
    </row>
    <row r="26" spans="1:17">
      <c r="A26" s="441" t="s">
        <v>612</v>
      </c>
      <c r="B26" s="442">
        <f t="shared" ca="1" si="2"/>
        <v>11158.686412716712</v>
      </c>
      <c r="C26" s="442">
        <f t="shared" ca="1" si="3"/>
        <v>0</v>
      </c>
      <c r="D26" s="442">
        <f t="shared" si="4"/>
        <v>4601.293451484421</v>
      </c>
      <c r="E26" s="442">
        <f t="shared" si="5"/>
        <v>570.59191997602488</v>
      </c>
      <c r="F26" s="442">
        <f t="shared" si="6"/>
        <v>4578.2076811599591</v>
      </c>
      <c r="G26" s="442">
        <f t="shared" si="7"/>
        <v>0</v>
      </c>
      <c r="H26" s="442">
        <f t="shared" si="8"/>
        <v>0</v>
      </c>
      <c r="I26" s="442">
        <f t="shared" si="9"/>
        <v>0</v>
      </c>
      <c r="J26" s="442">
        <f t="shared" si="10"/>
        <v>93.788214837301808</v>
      </c>
      <c r="K26" s="442">
        <f t="shared" si="11"/>
        <v>0</v>
      </c>
      <c r="L26" s="442">
        <f t="shared" si="12"/>
        <v>0</v>
      </c>
      <c r="M26" s="442">
        <f t="shared" si="13"/>
        <v>0</v>
      </c>
      <c r="N26" s="442">
        <f t="shared" si="14"/>
        <v>0</v>
      </c>
      <c r="O26" s="442">
        <f t="shared" si="15"/>
        <v>0</v>
      </c>
      <c r="P26" s="443">
        <f t="shared" si="16"/>
        <v>0</v>
      </c>
      <c r="Q26" s="441">
        <f t="shared" ca="1" si="17"/>
        <v>21002.567680174419</v>
      </c>
    </row>
    <row r="27" spans="1:17" s="447" customFormat="1">
      <c r="A27" s="445" t="s">
        <v>556</v>
      </c>
      <c r="B27" s="709">
        <f t="shared" ca="1" si="2"/>
        <v>2.3995814767892112</v>
      </c>
      <c r="C27" s="446">
        <f t="shared" ca="1" si="3"/>
        <v>0</v>
      </c>
      <c r="D27" s="446">
        <f t="shared" si="4"/>
        <v>4.6728842735823912</v>
      </c>
      <c r="E27" s="446">
        <f t="shared" si="5"/>
        <v>49.319614466371277</v>
      </c>
      <c r="F27" s="446">
        <f t="shared" si="6"/>
        <v>0</v>
      </c>
      <c r="G27" s="446">
        <f t="shared" si="7"/>
        <v>16066.413417969572</v>
      </c>
      <c r="H27" s="446">
        <f t="shared" si="8"/>
        <v>3457.1511847743823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19579.956682960699</v>
      </c>
    </row>
    <row r="28" spans="1:17">
      <c r="A28" s="441" t="s">
        <v>546</v>
      </c>
      <c r="B28" s="442">
        <f t="shared" ca="1" si="2"/>
        <v>0.46476710180017788</v>
      </c>
      <c r="C28" s="442">
        <f t="shared" ca="1" si="3"/>
        <v>0</v>
      </c>
      <c r="D28" s="442">
        <f t="shared" si="4"/>
        <v>0</v>
      </c>
      <c r="E28" s="442">
        <f t="shared" si="5"/>
        <v>0</v>
      </c>
      <c r="F28" s="442">
        <f t="shared" si="6"/>
        <v>0</v>
      </c>
      <c r="G28" s="442">
        <f t="shared" si="7"/>
        <v>113.05538851541186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113.52015561721204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446.47881471920874</v>
      </c>
      <c r="C32" s="442">
        <f t="shared" ca="1" si="3"/>
        <v>0</v>
      </c>
      <c r="D32" s="442">
        <f t="shared" si="4"/>
        <v>272.35123570589923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718.83005042510797</v>
      </c>
    </row>
    <row r="33" spans="1:17" s="451" customFormat="1">
      <c r="A33" s="969" t="s">
        <v>550</v>
      </c>
      <c r="B33" s="909">
        <f ca="1">SUM(B22:B32)</f>
        <v>23295.720720167592</v>
      </c>
      <c r="C33" s="909">
        <f t="shared" ref="C33:Q33" ca="1" si="18">SUM(C22:C32)</f>
        <v>0</v>
      </c>
      <c r="D33" s="909">
        <f t="shared" ca="1" si="18"/>
        <v>17125.924521315483</v>
      </c>
      <c r="E33" s="909">
        <f t="shared" si="18"/>
        <v>1057.1528642987919</v>
      </c>
      <c r="F33" s="909">
        <f t="shared" ca="1" si="18"/>
        <v>19138.599778003605</v>
      </c>
      <c r="G33" s="909">
        <f t="shared" si="18"/>
        <v>16179.468806484983</v>
      </c>
      <c r="H33" s="909">
        <f t="shared" si="18"/>
        <v>3457.1511847743823</v>
      </c>
      <c r="I33" s="909">
        <f t="shared" si="18"/>
        <v>0</v>
      </c>
      <c r="J33" s="909">
        <f t="shared" si="18"/>
        <v>463.58595151812563</v>
      </c>
      <c r="K33" s="909">
        <f t="shared" si="18"/>
        <v>0</v>
      </c>
      <c r="L33" s="909">
        <f t="shared" ca="1" si="18"/>
        <v>0</v>
      </c>
      <c r="M33" s="909">
        <f t="shared" si="18"/>
        <v>0</v>
      </c>
      <c r="N33" s="909">
        <f t="shared" ca="1" si="18"/>
        <v>0</v>
      </c>
      <c r="O33" s="909">
        <f t="shared" si="18"/>
        <v>0</v>
      </c>
      <c r="P33" s="909">
        <f t="shared" si="18"/>
        <v>0</v>
      </c>
      <c r="Q33" s="909">
        <f t="shared" ca="1" si="18"/>
        <v>80717.603826562961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6595.6299198254237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6595.6299198254237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0.20798612120283114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0.20798612120283114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2022-07-26T11:40:56Z</dcterms:modified>
</cp:coreProperties>
</file>