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D89A0EF-49B1-427A-8A36-23ED8D7843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<sst xmlns="http://schemas.openxmlformats.org/spreadsheetml/2006/main" count="2446" uniqueCount="907">
  <si>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</si>
  <si>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</si>
  <si>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</si>
  <si>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</si>
  <si>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</si>
  <si>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</si>
  <si>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</si>
  <si>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</si>
  <si>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</si>
  <si>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</si>
  <si>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</si>
  <si>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</si>
  <si>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</si>
  <si>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</si>
  <si>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</si>
  <si>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</si>
  <si>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</si>
  <si>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</si>
  <si>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</si>
  <si>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</si>
  <si>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</si>
  <si>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</si>
  <si>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</si>
  <si>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</si>
  <si>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</si>
  <si>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</si>
  <si>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</si>
  <si>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</si>
  <si>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</si>
  <si>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</si>
  <si>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</si>
  <si>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</si>
  <si>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</si>
  <si>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</si>
  <si>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</si>
  <si>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</si>
  <si>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</si>
  <si>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</si>
  <si>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</si>
  <si>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</si>
  <si>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</si>
  <si>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</si>
  <si>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</si>
  <si>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</si>
  <si>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</si>
  <si>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</si>
  <si>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</si>
  <si>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</si>
  <si>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</si>
  <si>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</si>
  <si>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</si>
  <si>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</si>
  <si>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</si>
  <si>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</si>
  <si>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</si>
  <si>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</si>
  <si>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</si>
  <si>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</si>
  <si>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</si>
  <si>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</si>
  <si>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</si>
  <si>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</si>
  <si>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</si>
  <si>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</si>
  <si>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</si>
  <si>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</si>
  <si>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</si>
  <si>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</si>
  <si>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</si>
  <si>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</si>
  <si>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</si>
  <si>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</si>
  <si>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</si>
  <si>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</si>
  <si>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</si>
  <si>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</si>
  <si>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</si>
  <si>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</si>
  <si>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</si>
  <si>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</si>
  <si>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</si>
  <si>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</si>
  <si>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</si>
  <si>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</si>
  <si>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</si>
  <si>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</si>
  <si>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</si>
  <si>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</si>
  <si>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</si>
  <si>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</si>
  <si>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</si>
  <si>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</si>
  <si>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</si>
  <si>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</si>
  <si>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</si>
  <si>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</si>
  <si>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</si>
  <si>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</si>
  <si>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</si>
  <si>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</si>
  <si>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</si>
  <si>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</si>
  <si>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</si>
  <si>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</si>
  <si>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</si>
  <si>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</si>
  <si>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</si>
  <si>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</si>
  <si>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</si>
  <si>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</si>
  <si>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</si>
  <si>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</si>
  <si>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</si>
  <si>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</si>
  <si>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</si>
  <si>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</si>
  <si>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</si>
  <si>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</si>
  <si>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</si>
  <si>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</si>
  <si>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</si>
  <si>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</si>
  <si>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</si>
  <si>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</si>
  <si>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</si>
  <si>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</si>
  <si>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</si>
  <si>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</si>
  <si>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</si>
  <si>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</si>
  <si>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</si>
  <si>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</si>
  <si>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</si>
  <si>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</si>
  <si>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</si>
  <si>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</si>
  <si>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</si>
  <si>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</si>
  <si>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</si>
  <si>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</si>
  <si>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</si>
  <si>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</si>
  <si>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</si>
  <si>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</si>
  <si>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</si>
  <si>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</si>
  <si>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</si>
  <si>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</si>
  <si>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</si>
  <si>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</si>
  <si>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</si>
  <si>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</si>
  <si>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</si>
  <si>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</si>
  <si>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</si>
  <si>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</si>
  <si>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</si>
  <si>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</si>
  <si>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</si>
  <si>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</si>
  <si>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</si>
  <si>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</si>
  <si>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</si>
  <si>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</si>
  <si>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</si>
  <si>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</si>
  <si>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</si>
  <si>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</si>
  <si>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</si>
  <si>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</si>
  <si>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</si>
  <si>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</si>
  <si>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</si>
  <si>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</si>
  <si>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</si>
  <si>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</si>
  <si>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</si>
  <si>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</si>
  <si>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</si>
  <si>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</si>
  <si>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</si>
  <si>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</si>
  <si>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</si>
  <si>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</si>
  <si>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</si>
  <si>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</si>
  <si>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</si>
  <si>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</si>
  <si>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</si>
  <si>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</si>
  <si>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</si>
  <si>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</si>
  <si>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</si>
  <si>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</si>
  <si>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</si>
  <si>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</si>
  <si>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</si>
  <si>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</si>
  <si>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</si>
  <si>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</si>
  <si>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</si>
  <si>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</si>
  <si>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</si>
  <si>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</si>
  <si>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</si>
  <si>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</si>
  <si>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</si>
  <si>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</si>
  <si>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</si>
  <si>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</si>
  <si>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</si>
  <si>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</si>
  <si>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</si>
  <si>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</si>
  <si>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</si>
  <si>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</si>
  <si>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</si>
  <si>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</si>
  <si>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</si>
  <si>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</si>
  <si>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</si>
  <si>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</si>
  <si>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</si>
  <si>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</si>
  <si>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</si>
  <si>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</si>
  <si>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</si>
  <si>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</si>
  <si>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</si>
  <si>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</si>
  <si>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</si>
  <si>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</si>
  <si>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</si>
  <si>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</si>
  <si>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</si>
  <si>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</si>
  <si>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</si>
  <si>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</si>
  <si>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</si>
  <si>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</si>
  <si>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</si>
  <si>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</si>
  <si>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</si>
  <si>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</si>
  <si>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</si>
  <si>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</si>
  <si>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</si>
  <si>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</si>
  <si>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</si>
  <si>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</si>
  <si>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</si>
  <si>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</si>
  <si>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</si>
  <si>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</si>
  <si>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</si>
  <si>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</si>
  <si>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</si>
  <si>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</si>
  <si>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</si>
  <si>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</si>
  <si>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</si>
  <si>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</si>
  <si>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</si>
  <si>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</si>
  <si>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</si>
  <si>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</si>
  <si>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</si>
  <si>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</si>
  <si>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</si>
  <si>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</si>
  <si>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</si>
  <si>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</si>
  <si>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</si>
  <si>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</si>
  <si>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</si>
  <si>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</si>
  <si>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</si>
  <si>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</si>
  <si>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</si>
  <si>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</si>
  <si>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</si>
  <si>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</si>
  <si>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</si>
  <si>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</si>
  <si>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</si>
  <si>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</si>
  <si>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</si>
  <si>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</si>
  <si>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</si>
  <si>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</si>
  <si>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</si>
  <si>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</si>
  <si>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</si>
  <si>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</si>
  <si>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</si>
  <si>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</si>
  <si>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</si>
  <si>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</si>
  <si>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</si>
  <si>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</si>
  <si>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</si>
  <si>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</si>
  <si>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</si>
  <si>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</si>
  <si>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</si>
  <si>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</si>
  <si>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</si>
  <si>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</si>
  <si>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</si>
  <si>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</si>
  <si>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</si>
  <si>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</si>
  <si>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</si>
  <si>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</si>
  <si>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</si>
  <si>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</si>
  <si>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</si>
  <si>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</si>
  <si>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</si>
  <si>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</si>
  <si>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</si>
  <si>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</si>
  <si>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</si>
  <si>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</si>
  <si>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</si>
  <si>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</si>
  <si>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</si>
  <si>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</si>
  <si>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</si>
  <si>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</si>
  <si>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</si>
  <si>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</si>
  <si>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</si>
  <si>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</si>
  <si>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</si>
  <si>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</si>
  <si>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</si>
  <si>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</si>
  <si>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</si>
  <si>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</si>
  <si>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</si>
  <si>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</si>
  <si>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</si>
  <si>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</si>
  <si>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</si>
  <si>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</si>
  <si>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</si>
  <si>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</si>
  <si>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</si>
  <si>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</si>
  <si>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</si>
  <si>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</si>
  <si>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</si>
  <si>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</si>
  <si>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</si>
  <si>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</si>
  <si>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</si>
  <si>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</si>
  <si>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</si>
  <si>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</si>
  <si>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</si>
  <si>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</si>
  <si>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</si>
  <si>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</si>
  <si>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</si>
  <si>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</si>
  <si>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</si>
  <si>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</si>
  <si>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</si>
  <si>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</si>
  <si>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</si>
  <si>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</si>
  <si>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</si>
  <si>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</si>
  <si>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</si>
  <si>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</si>
  <si>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</si>
  <si>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</si>
  <si>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</si>
  <si>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</si>
  <si>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</si>
  <si>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</si>
  <si>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</si>
  <si>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</si>
  <si>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</si>
  <si>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</si>
  <si>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</si>
  <si>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</si>
  <si>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</si>
  <si>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</si>
  <si>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</si>
  <si>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</si>
  <si>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</si>
  <si>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</si>
  <si>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</si>
  <si>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</si>
  <si>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</si>
  <si>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</si>
  <si>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</si>
  <si>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</si>
  <si>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</si>
  <si>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</si>
  <si>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</si>
  <si>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</si>
  <si>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</si>
  <si>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</si>
  <si>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</si>
  <si>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</si>
  <si>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</si>
  <si>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</si>
  <si>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</si>
  <si>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</si>
  <si>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</si>
  <si>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</si>
  <si>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</si>
  <si>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</si>
  <si>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</si>
  <si>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</si>
  <si>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</si>
  <si>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</si>
  <si>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</si>
  <si>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</si>
  <si>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</si>
  <si>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</si>
  <si>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</si>
  <si>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</si>
  <si>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</si>
  <si>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</si>
  <si>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</si>
  <si>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</si>
  <si>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</si>
  <si>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</si>
  <si>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</si>
  <si>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</si>
  <si>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</si>
  <si>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</si>
  <si>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</si>
  <si>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</si>
  <si>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</si>
  <si>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</si>
  <si>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</si>
  <si>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</si>
  <si>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</si>
  <si>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</si>
  <si>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</si>
  <si>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</si>
  <si>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</si>
  <si>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</si>
  <si>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</si>
  <si>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</si>
  <si>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</si>
  <si>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</si>
  <si>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</si>
  <si>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</si>
  <si>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</si>
  <si>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</si>
  <si>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</si>
  <si>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</si>
  <si>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</si>
  <si>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</si>
  <si>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</si>
  <si>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</si>
  <si>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</si>
  <si>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</si>
  <si>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</si>
  <si>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</si>
  <si>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</si>
  <si>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</si>
  <si>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</si>
  <si>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</si>
  <si>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</si>
  <si>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</si>
  <si>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</si>
  <si>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</si>
  <si>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</si>
  <si>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</si>
  <si>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</si>
  <si>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</si>
  <si>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</si>
  <si>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</si>
  <si>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</si>
  <si>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</si>
  <si>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</si>
  <si>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</si>
  <si>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</si>
  <si>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</si>
  <si>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</si>
  <si>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</si>
  <si>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</si>
  <si>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</si>
  <si>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</si>
  <si>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</si>
  <si>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</si>
  <si>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</si>
  <si>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</si>
  <si>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</si>
  <si>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</si>
  <si>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</si>
  <si>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</si>
  <si>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</si>
  <si>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</si>
  <si>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</si>
  <si>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</si>
  <si>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</si>
  <si>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</si>
  <si>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</si>
  <si>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</si>
  <si>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</si>
  <si>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</si>
  <si>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</si>
  <si>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</si>
  <si>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</si>
  <si>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</si>
  <si>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</si>
  <si>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</si>
  <si>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</si>
  <si>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</si>
  <si>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</si>
  <si>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</si>
  <si>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</si>
  <si>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</si>
  <si>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</si>
  <si>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</si>
  <si>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</si>
  <si>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</si>
  <si>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</si>
  <si>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</si>
  <si>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</si>
  <si>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</si>
  <si>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</si>
  <si>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</si>
  <si>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</si>
  <si>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</si>
  <si>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</si>
  <si>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</si>
  <si>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</si>
  <si>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</si>
  <si>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</si>
  <si>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</si>
  <si>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</si>
  <si>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</si>
  <si>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</si>
  <si>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</si>
  <si>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</si>
  <si>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</si>
  <si>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</si>
  <si>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</si>
  <si>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</si>
  <si>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</si>
  <si>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</si>
  <si>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</si>
  <si>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</si>
  <si>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</si>
  <si>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</si>
  <si>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</si>
  <si>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</si>
  <si>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</si>
  <si>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</si>
  <si>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</si>
  <si>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</si>
  <si>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</si>
  <si>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</si>
  <si>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</si>
  <si>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</si>
  <si>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</si>
  <si>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</si>
  <si>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</si>
  <si>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</si>
  <si>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</si>
  <si>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</si>
  <si>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</si>
  <si>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</si>
  <si>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</si>
  <si>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</si>
  <si>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</si>
  <si>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</si>
  <si>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</si>
  <si>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</si>
  <si>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</si>
  <si>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</si>
  <si>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</si>
  <si>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</si>
  <si>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</si>
  <si>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</si>
  <si>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</si>
  <si>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</si>
  <si>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</si>
  <si>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</si>
  <si>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</si>
  <si>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</si>
  <si>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</si>
  <si>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</si>
  <si>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</si>
  <si>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</si>
  <si>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</si>
  <si>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</si>
  <si>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</si>
  <si>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</si>
  <si>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</si>
  <si>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</si>
  <si>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</si>
  <si>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</si>
  <si>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</si>
  <si>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</si>
  <si>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</si>
  <si>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</si>
  <si>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</si>
  <si>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</si>
  <si>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</si>
  <si>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</si>
  <si>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</si>
  <si>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</si>
  <si>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</si>
  <si>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</si>
  <si>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</si>
  <si>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</si>
  <si>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</si>
  <si>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</si>
  <si>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</si>
  <si>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</si>
  <si>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</si>
  <si>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</si>
  <si>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</si>
  <si>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</si>
  <si>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</si>
  <si>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</si>
  <si>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</si>
  <si>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</si>
  <si>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</si>
  <si>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</si>
  <si>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</si>
  <si>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</si>
  <si>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</si>
  <si>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</si>
  <si>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</si>
  <si>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</si>
  <si>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</si>
  <si>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</si>
  <si>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</si>
  <si>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</si>
  <si>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</si>
  <si>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</si>
  <si>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</si>
  <si>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</si>
  <si>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</si>
  <si>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</si>
  <si>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</si>
  <si>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</si>
  <si>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</si>
  <si>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</si>
  <si>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</si>
  <si>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</si>
  <si>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</si>
  <si>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</si>
  <si>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</si>
  <si>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</si>
  <si>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</si>
  <si>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</si>
  <si>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</si>
  <si>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</si>
  <si>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</si>
  <si>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</si>
  <si>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</si>
  <si>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</si>
  <si>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</si>
  <si>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</si>
  <si>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</si>
  <si>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</si>
  <si>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</si>
  <si>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</si>
  <si>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</si>
  <si>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</si>
  <si>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</si>
  <si>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</si>
  <si>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</si>
  <si>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</si>
  <si>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</si>
  <si>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</si>
  <si>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</si>
  <si>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</si>
  <si>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</si>
  <si>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</si>
  <si>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</si>
  <si>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</si>
  <si>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</si>
  <si>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</si>
  <si>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</si>
  <si>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</si>
  <si>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</si>
  <si>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</si>
  <si>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</si>
  <si>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</si>
  <si>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</si>
  <si>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</si>
  <si>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</si>
  <si>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</si>
  <si>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</si>
  <si>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</si>
  <si>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</si>
  <si>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</si>
  <si>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</si>
  <si>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</si>
  <si>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</si>
  <si>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</si>
  <si>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</si>
  <si>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</si>
  <si>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</si>
  <si>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</si>
  <si>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</si>
  <si>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</si>
  <si>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</si>
  <si>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</si>
  <si>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</si>
  <si>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</si>
  <si>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</si>
  <si>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</si>
  <si>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</si>
  <si>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</si>
  <si>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</si>
  <si>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</si>
  <si>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</si>
  <si>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</si>
  <si>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</si>
  <si>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</si>
  <si>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</si>
  <si>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</si>
  <si>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</si>
  <si>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</si>
  <si>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</si>
  <si>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</si>
  <si>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</si>
  <si>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</si>
  <si>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</si>
  <si>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</si>
  <si>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</si>
  <si>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</si>
  <si>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</si>
  <si>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</si>
  <si>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</si>
  <si>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</si>
  <si>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</si>
  <si>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</si>
  <si>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</si>
  <si>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</si>
  <si>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</si>
  <si>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</si>
  <si>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</si>
  <si>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</si>
  <si>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</si>
  <si>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</si>
  <si>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</si>
  <si>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</si>
  <si>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</si>
  <si>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</si>
  <si>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</si>
  <si>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</si>
  <si>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</si>
  <si>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</si>
  <si>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</si>
  <si>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</si>
  <si>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</si>
  <si>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</si>
  <si>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</si>
  <si>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</si>
  <si>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</si>
  <si>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</si>
  <si>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</si>
  <si>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</si>
  <si>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</si>
  <si>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</si>
  <si>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</si>
  <si>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</si>
  <si>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</si>
  <si>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</si>
  <si>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</si>
  <si>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</si>
  <si>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</si>
  <si>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</si>
  <si>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</si>
  <si>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</si>
  <si>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</si>
  <si>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</si>
  <si>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</si>
  <si>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</si>
  <si>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</si>
  <si>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</si>
  <si>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</si>
  <si>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</si>
  <si>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</si>
  <si>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</si>
  <si>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</si>
  <si>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</si>
  <si>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</si>
  <si>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</si>
  <si>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</si>
  <si>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</si>
  <si>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</si>
  <si>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</si>
  <si>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</si>
  <si>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</si>
  <si>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</si>
  <si>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</si>
  <si>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</si>
  <si>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</si>
  <si>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</si>
  <si>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</si>
  <si>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</si>
  <si>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</si>
  <si>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</si>
  <si>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</si>
  <si>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</si>
  <si>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</si>
  <si>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</si>
  <si>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</si>
  <si>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</si>
  <si>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</si>
  <si>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</si>
  <si>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</si>
  <si>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</si>
  <si>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</si>
  <si>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</si>
  <si>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</si>
  <si>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</si>
  <si>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</si>
  <si>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</si>
  <si>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</si>
  <si>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</si>
  <si>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</si>
  <si>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</si>
  <si>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</si>
  <si>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</si>
  <si>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</si>
  <si>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</si>
  <si>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</si>
  <si>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</si>
  <si>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</si>
  <si>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</si>
  <si>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</si>
  <si>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</si>
  <si>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</si>
  <si>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</si>
  <si>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</si>
  <si>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</si>
  <si>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</si>
  <si>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</si>
  <si>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</si>
  <si>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</si>
  <si>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</si>
  <si>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</si>
  <si>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</si>
  <si>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</si>
  <si>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</si>
  <si>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</si>
  <si>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</si>
  <si>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</si>
  <si>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</si>
  <si>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</si>
  <si>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</si>
  <si>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</si>
  <si>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</si>
  <si>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</si>
  <si>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</si>
  <si>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</si>
  <si>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</si>
  <si>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</si>
  <si>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</si>
  <si>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</si>
  <si>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</si>
  <si>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</si>
  <si>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</si>
  <si>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</si>
  <si>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</si>
  <si>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</si>
  <si>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</si>
  <si>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</si>
  <si>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</si>
  <si>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</si>
  <si>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</si>
  <si>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</si>
  <si>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</si>
  <si>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</si>
  <si>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</si>
  <si>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</si>
  <si>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</si>
  <si>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</si>
  <si>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</si>
  <si>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</si>
  <si>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</si>
  <si>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</si>
  <si>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</si>
  <si>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</si>
  <si>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</si>
  <si>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</si>
  <si>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</si>
  <si>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</si>
  <si>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</si>
  <si>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</si>
  <si>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</si>
  <si>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</si>
  <si>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37011</t>
  </si>
  <si>
    <t>PITTEM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</si>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</sst>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749BE35-4187-4BE9-B833-9573E087D355}"/>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56922.620442375308</c:v>
                </c:pt>
                <c:pt idx="1">
                  <c:v>28591.409644905165</c:v>
                </c:pt>
                <c:pt idx="2">
                  <c:v>643.49</c:v>
                </c:pt>
                <c:pt idx="3">
                  <c:v>108800.67695412353</c:v>
                </c:pt>
                <c:pt idx="4">
                  <c:v>16272.255310739942</c:v>
                </c:pt>
                <c:pt idx="5">
                  <c:v>61617.858541947891</c:v>
                </c:pt>
                <c:pt idx="6">
                  <c:v>631.34845175129965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56922.620442375308</c:v>
                </c:pt>
                <c:pt idx="1">
                  <c:v>28591.409644905165</c:v>
                </c:pt>
                <c:pt idx="2">
                  <c:v>643.49</c:v>
                </c:pt>
                <c:pt idx="3">
                  <c:v>108800.67695412353</c:v>
                </c:pt>
                <c:pt idx="4">
                  <c:v>16272.255310739942</c:v>
                </c:pt>
                <c:pt idx="5">
                  <c:v>61617.858541947891</c:v>
                </c:pt>
                <c:pt idx="6">
                  <c:v>631.34845175129965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9643.1787475131023</c:v>
                </c:pt>
                <c:pt idx="2">
                  <c:v>3292.8363510528052</c:v>
                </c:pt>
                <c:pt idx="3">
                  <c:v>0.87797243246858314</c:v>
                </c:pt>
                <c:pt idx="4">
                  <c:v>8039.276750526149</c:v>
                </c:pt>
                <c:pt idx="5">
                  <c:v>1562.5800029034629</c:v>
                </c:pt>
                <c:pt idx="6">
                  <c:v>15450.446044378952</c:v>
                </c:pt>
                <c:pt idx="7">
                  <c:v>158.60686320150447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9643.1787475131023</c:v>
                </c:pt>
                <c:pt idx="2">
                  <c:v>3292.8363510528052</c:v>
                </c:pt>
                <c:pt idx="3">
                  <c:v>0.87797243246858314</c:v>
                </c:pt>
                <c:pt idx="4">
                  <c:v>8039.276750526149</c:v>
                </c:pt>
                <c:pt idx="5">
                  <c:v>1562.5800029034629</c:v>
                </c:pt>
                <c:pt idx="6">
                  <c:v>15450.446044378952</c:v>
                </c:pt>
                <c:pt idx="7">
                  <c:v>158.60686320150447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37011</v>
      </c>
      <c r="B6" s="381"/>
      <c r="C6" s="382"/>
    </row>
    <row r="7" spans="1:7" s="379" customFormat="1" ht="15.75" customHeight="1">
      <c r="A7" s="383" t="str">
        <f>txtMunicipality</f>
        <v>PITTEM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1.3643917270953444E-3</v>
      </c>
      <c r="C17" s="489">
        <f ca="1">'EF ele_warmte'!B22</f>
        <v>1.5151921047132767E-3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1.3643917270953444E-3</v>
      </c>
      <c r="C29" s="490">
        <f ca="1">'EF ele_warmte'!B22</f>
        <v>1.5151921047132767E-3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2667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2502</v>
      </c>
      <c r="C14" s="322"/>
      <c r="D14" s="322"/>
      <c r="E14" s="322"/>
      <c r="F14" s="322"/>
    </row>
    <row r="15" spans="1:6">
      <c r="A15" s="1261" t="s">
        <v>177</v>
      </c>
      <c r="B15" s="1262">
        <v>21</v>
      </c>
      <c r="C15" s="322"/>
      <c r="D15" s="322"/>
      <c r="E15" s="322"/>
      <c r="F15" s="322"/>
    </row>
    <row r="16" spans="1:6">
      <c r="A16" s="1261" t="s">
        <v>6</v>
      </c>
      <c r="B16" s="1262">
        <v>634</v>
      </c>
      <c r="C16" s="322"/>
      <c r="D16" s="322"/>
      <c r="E16" s="322"/>
      <c r="F16" s="322"/>
    </row>
    <row r="17" spans="1:6">
      <c r="A17" s="1261" t="s">
        <v>7</v>
      </c>
      <c r="B17" s="1262">
        <v>854</v>
      </c>
      <c r="C17" s="322"/>
      <c r="D17" s="322"/>
      <c r="E17" s="322"/>
      <c r="F17" s="322"/>
    </row>
    <row r="18" spans="1:6">
      <c r="A18" s="1261" t="s">
        <v>8</v>
      </c>
      <c r="B18" s="1262">
        <v>1049</v>
      </c>
      <c r="C18" s="322"/>
      <c r="D18" s="322"/>
      <c r="E18" s="322"/>
      <c r="F18" s="322"/>
    </row>
    <row r="19" spans="1:6">
      <c r="A19" s="1261" t="s">
        <v>9</v>
      </c>
      <c r="B19" s="1262">
        <v>1024</v>
      </c>
      <c r="C19" s="322"/>
      <c r="D19" s="322"/>
      <c r="E19" s="322"/>
      <c r="F19" s="322"/>
    </row>
    <row r="20" spans="1:6">
      <c r="A20" s="1261" t="s">
        <v>10</v>
      </c>
      <c r="B20" s="1262">
        <v>702</v>
      </c>
      <c r="C20" s="322"/>
      <c r="D20" s="322"/>
      <c r="E20" s="322"/>
      <c r="F20" s="322"/>
    </row>
    <row r="21" spans="1:6">
      <c r="A21" s="1261" t="s">
        <v>11</v>
      </c>
      <c r="B21" s="1262">
        <v>47867</v>
      </c>
      <c r="C21" s="322"/>
      <c r="D21" s="322"/>
      <c r="E21" s="322"/>
      <c r="F21" s="322"/>
    </row>
    <row r="22" spans="1:6">
      <c r="A22" s="1261" t="s">
        <v>12</v>
      </c>
      <c r="B22" s="1262">
        <v>70940</v>
      </c>
      <c r="C22" s="322"/>
      <c r="D22" s="322"/>
      <c r="E22" s="322"/>
      <c r="F22" s="322"/>
    </row>
    <row r="23" spans="1:6">
      <c r="A23" s="1261" t="s">
        <v>13</v>
      </c>
      <c r="B23" s="1262">
        <v>2393</v>
      </c>
      <c r="C23" s="322"/>
      <c r="D23" s="322"/>
      <c r="E23" s="322"/>
      <c r="F23" s="322"/>
    </row>
    <row r="24" spans="1:6">
      <c r="A24" s="1261" t="s">
        <v>14</v>
      </c>
      <c r="B24" s="1262">
        <v>105</v>
      </c>
      <c r="C24" s="322"/>
      <c r="D24" s="322"/>
      <c r="E24" s="322"/>
      <c r="F24" s="322"/>
    </row>
    <row r="25" spans="1:6">
      <c r="A25" s="1261" t="s">
        <v>15</v>
      </c>
      <c r="B25" s="1262">
        <v>11185</v>
      </c>
      <c r="C25" s="322"/>
      <c r="D25" s="322"/>
      <c r="E25" s="322"/>
      <c r="F25" s="322"/>
    </row>
    <row r="26" spans="1:6">
      <c r="A26" s="1261" t="s">
        <v>16</v>
      </c>
      <c r="B26" s="1262">
        <v>188</v>
      </c>
      <c r="C26" s="322"/>
      <c r="D26" s="322"/>
      <c r="E26" s="322"/>
      <c r="F26" s="322"/>
    </row>
    <row r="27" spans="1:6">
      <c r="A27" s="1261" t="s">
        <v>17</v>
      </c>
      <c r="B27" s="1262">
        <v>0</v>
      </c>
      <c r="C27" s="322"/>
      <c r="D27" s="322"/>
      <c r="E27" s="322"/>
      <c r="F27" s="322"/>
    </row>
    <row r="28" spans="1:6">
      <c r="A28" s="1261" t="s">
        <v>18</v>
      </c>
      <c r="B28" s="1263">
        <v>192393</v>
      </c>
      <c r="C28" s="322"/>
      <c r="D28" s="322"/>
      <c r="E28" s="322"/>
      <c r="F28" s="322"/>
    </row>
    <row r="29" spans="1:6">
      <c r="A29" s="1261" t="s">
        <v>901</v>
      </c>
      <c r="B29" s="1263">
        <v>76</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23942.5</v>
      </c>
    </row>
    <row r="37" spans="1:6">
      <c r="A37" s="1261" t="s">
        <v>24</v>
      </c>
      <c r="B37" s="1261" t="s">
        <v>27</v>
      </c>
      <c r="C37" s="1262">
        <v>0</v>
      </c>
      <c r="D37" s="1262">
        <v>0</v>
      </c>
      <c r="E37" s="1262">
        <v>0</v>
      </c>
      <c r="F37" s="1262">
        <v>0</v>
      </c>
    </row>
    <row r="38" spans="1:6">
      <c r="A38" s="1261" t="s">
        <v>24</v>
      </c>
      <c r="B38" s="1261" t="s">
        <v>28</v>
      </c>
      <c r="C38" s="1262">
        <v>0</v>
      </c>
      <c r="D38" s="1262">
        <v>0</v>
      </c>
      <c r="E38" s="1262">
        <v>4</v>
      </c>
      <c r="F38" s="1262">
        <v>13605.31</v>
      </c>
    </row>
    <row r="39" spans="1:6">
      <c r="A39" s="1261" t="s">
        <v>29</v>
      </c>
      <c r="B39" s="1261" t="s">
        <v>30</v>
      </c>
      <c r="C39" s="1262">
        <v>1511</v>
      </c>
      <c r="D39" s="1262">
        <v>22887233.689427</v>
      </c>
      <c r="E39" s="1262">
        <v>2414</v>
      </c>
      <c r="F39" s="1262">
        <v>10272687</v>
      </c>
    </row>
    <row r="40" spans="1:6">
      <c r="A40" s="1261" t="s">
        <v>29</v>
      </c>
      <c r="B40" s="1261" t="s">
        <v>28</v>
      </c>
      <c r="C40" s="1262">
        <v>0</v>
      </c>
      <c r="D40" s="1262">
        <v>0</v>
      </c>
      <c r="E40" s="1262">
        <v>0</v>
      </c>
      <c r="F40" s="1262">
        <v>0</v>
      </c>
    </row>
    <row r="41" spans="1:6">
      <c r="A41" s="1261" t="s">
        <v>31</v>
      </c>
      <c r="B41" s="1261" t="s">
        <v>32</v>
      </c>
      <c r="C41" s="1262">
        <v>24</v>
      </c>
      <c r="D41" s="1262">
        <v>538347.79701115098</v>
      </c>
      <c r="E41" s="1262">
        <v>77</v>
      </c>
      <c r="F41" s="1262">
        <v>1262707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5</v>
      </c>
      <c r="D44" s="1262">
        <v>151813.448586877</v>
      </c>
      <c r="E44" s="1262">
        <v>21</v>
      </c>
      <c r="F44" s="1262">
        <v>640714.30000000005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22</v>
      </c>
      <c r="D48" s="1262">
        <v>1898399.7808590301</v>
      </c>
      <c r="E48" s="1262">
        <v>38</v>
      </c>
      <c r="F48" s="1262">
        <v>6979133</v>
      </c>
    </row>
    <row r="49" spans="1:6">
      <c r="A49" s="1261" t="s">
        <v>31</v>
      </c>
      <c r="B49" s="1261" t="s">
        <v>39</v>
      </c>
      <c r="C49" s="1262">
        <v>0</v>
      </c>
      <c r="D49" s="1262">
        <v>0</v>
      </c>
      <c r="E49" s="1262">
        <v>0</v>
      </c>
      <c r="F49" s="1262">
        <v>0</v>
      </c>
    </row>
    <row r="50" spans="1:6">
      <c r="A50" s="1261" t="s">
        <v>31</v>
      </c>
      <c r="B50" s="1261" t="s">
        <v>40</v>
      </c>
      <c r="C50" s="1262">
        <v>4</v>
      </c>
      <c r="D50" s="1262">
        <v>175048.67444941399</v>
      </c>
      <c r="E50" s="1262">
        <v>5</v>
      </c>
      <c r="F50" s="1262">
        <v>250563</v>
      </c>
    </row>
    <row r="51" spans="1:6">
      <c r="A51" s="1261" t="s">
        <v>41</v>
      </c>
      <c r="B51" s="1261" t="s">
        <v>42</v>
      </c>
      <c r="C51" s="1262">
        <v>19</v>
      </c>
      <c r="D51" s="1262">
        <v>1537546.9311522299</v>
      </c>
      <c r="E51" s="1262">
        <v>199</v>
      </c>
      <c r="F51" s="1262">
        <v>8285443</v>
      </c>
    </row>
    <row r="52" spans="1:6">
      <c r="A52" s="1261" t="s">
        <v>41</v>
      </c>
      <c r="B52" s="1261" t="s">
        <v>28</v>
      </c>
      <c r="C52" s="1262">
        <v>3</v>
      </c>
      <c r="D52" s="1262">
        <v>1525822.8053893801</v>
      </c>
      <c r="E52" s="1262">
        <v>3</v>
      </c>
      <c r="F52" s="1262">
        <v>50783.42</v>
      </c>
    </row>
    <row r="53" spans="1:6">
      <c r="A53" s="1261" t="s">
        <v>43</v>
      </c>
      <c r="B53" s="1261" t="s">
        <v>44</v>
      </c>
      <c r="C53" s="1262">
        <v>31</v>
      </c>
      <c r="D53" s="1262">
        <v>578828.99632836401</v>
      </c>
      <c r="E53" s="1262">
        <v>68</v>
      </c>
      <c r="F53" s="1262">
        <v>808849</v>
      </c>
    </row>
    <row r="54" spans="1:6">
      <c r="A54" s="1261" t="s">
        <v>45</v>
      </c>
      <c r="B54" s="1261" t="s">
        <v>46</v>
      </c>
      <c r="C54" s="1262">
        <v>0</v>
      </c>
      <c r="D54" s="1262">
        <v>0</v>
      </c>
      <c r="E54" s="1262">
        <v>1</v>
      </c>
      <c r="F54" s="1262">
        <v>643490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19</v>
      </c>
      <c r="D57" s="1262">
        <v>691061.29317534505</v>
      </c>
      <c r="E57" s="1262">
        <v>61</v>
      </c>
      <c r="F57" s="1262">
        <v>1672884</v>
      </c>
    </row>
    <row r="58" spans="1:6">
      <c r="A58" s="1261" t="s">
        <v>48</v>
      </c>
      <c r="B58" s="1261" t="s">
        <v>50</v>
      </c>
      <c r="C58" s="1262">
        <v>9</v>
      </c>
      <c r="D58" s="1262">
        <v>248225.579010232</v>
      </c>
      <c r="E58" s="1262">
        <v>15</v>
      </c>
      <c r="F58" s="1262">
        <v>109343.4</v>
      </c>
    </row>
    <row r="59" spans="1:6">
      <c r="A59" s="1261" t="s">
        <v>48</v>
      </c>
      <c r="B59" s="1261" t="s">
        <v>51</v>
      </c>
      <c r="C59" s="1262">
        <v>34</v>
      </c>
      <c r="D59" s="1262">
        <v>4925878.5808208399</v>
      </c>
      <c r="E59" s="1262">
        <v>88</v>
      </c>
      <c r="F59" s="1262">
        <v>5075605</v>
      </c>
    </row>
    <row r="60" spans="1:6">
      <c r="A60" s="1261" t="s">
        <v>48</v>
      </c>
      <c r="B60" s="1261" t="s">
        <v>52</v>
      </c>
      <c r="C60" s="1262">
        <v>14</v>
      </c>
      <c r="D60" s="1262">
        <v>620769.07365620905</v>
      </c>
      <c r="E60" s="1262">
        <v>23</v>
      </c>
      <c r="F60" s="1262">
        <v>456056.6</v>
      </c>
    </row>
    <row r="61" spans="1:6">
      <c r="A61" s="1261" t="s">
        <v>48</v>
      </c>
      <c r="B61" s="1261" t="s">
        <v>53</v>
      </c>
      <c r="C61" s="1262">
        <v>30</v>
      </c>
      <c r="D61" s="1262">
        <v>2149295.0436960598</v>
      </c>
      <c r="E61" s="1262">
        <v>61</v>
      </c>
      <c r="F61" s="1262">
        <v>2486511</v>
      </c>
    </row>
    <row r="62" spans="1:6">
      <c r="A62" s="1261" t="s">
        <v>48</v>
      </c>
      <c r="B62" s="1261" t="s">
        <v>54</v>
      </c>
      <c r="C62" s="1262">
        <v>4</v>
      </c>
      <c r="D62" s="1262">
        <v>388272.42062007799</v>
      </c>
      <c r="E62" s="1262">
        <v>4</v>
      </c>
      <c r="F62" s="1262">
        <v>41354.129999999997</v>
      </c>
    </row>
    <row r="63" spans="1:6">
      <c r="A63" s="1261" t="s">
        <v>48</v>
      </c>
      <c r="B63" s="1261" t="s">
        <v>28</v>
      </c>
      <c r="C63" s="1262">
        <v>58</v>
      </c>
      <c r="D63" s="1262">
        <v>4402275.2860712605</v>
      </c>
      <c r="E63" s="1262">
        <v>82</v>
      </c>
      <c r="F63" s="1262">
        <v>2541522</v>
      </c>
    </row>
    <row r="64" spans="1:6">
      <c r="A64" s="1261" t="s">
        <v>55</v>
      </c>
      <c r="B64" s="1261" t="s">
        <v>56</v>
      </c>
      <c r="C64" s="1262">
        <v>0</v>
      </c>
      <c r="D64" s="1262">
        <v>0</v>
      </c>
      <c r="E64" s="1262">
        <v>0</v>
      </c>
      <c r="F64" s="1262">
        <v>0</v>
      </c>
    </row>
    <row r="65" spans="1:6">
      <c r="A65" s="1261" t="s">
        <v>55</v>
      </c>
      <c r="B65" s="1261" t="s">
        <v>28</v>
      </c>
      <c r="C65" s="1262">
        <v>1</v>
      </c>
      <c r="D65" s="1262">
        <v>234459.20847952299</v>
      </c>
      <c r="E65" s="1262">
        <v>0</v>
      </c>
      <c r="F65" s="1262">
        <v>0</v>
      </c>
    </row>
    <row r="66" spans="1:6">
      <c r="A66" s="1261" t="s">
        <v>55</v>
      </c>
      <c r="B66" s="1261" t="s">
        <v>57</v>
      </c>
      <c r="C66" s="1262">
        <v>0</v>
      </c>
      <c r="D66" s="1262">
        <v>0</v>
      </c>
      <c r="E66" s="1262">
        <v>8</v>
      </c>
      <c r="F66" s="1262">
        <v>240122.8</v>
      </c>
    </row>
    <row r="67" spans="1:6">
      <c r="A67" s="1261" t="s">
        <v>55</v>
      </c>
      <c r="B67" s="1261" t="s">
        <v>58</v>
      </c>
      <c r="C67" s="1262">
        <v>0</v>
      </c>
      <c r="D67" s="1262">
        <v>0</v>
      </c>
      <c r="E67" s="1262">
        <v>0</v>
      </c>
      <c r="F67" s="1262">
        <v>0</v>
      </c>
    </row>
    <row r="68" spans="1:6">
      <c r="A68" s="1256" t="s">
        <v>55</v>
      </c>
      <c r="B68" s="1256" t="s">
        <v>59</v>
      </c>
      <c r="C68" s="1264">
        <v>4</v>
      </c>
      <c r="D68" s="1264">
        <v>79376.541181030101</v>
      </c>
      <c r="E68" s="1264">
        <v>19</v>
      </c>
      <c r="F68" s="1264">
        <v>256904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54101827</v>
      </c>
      <c r="E73" s="440"/>
      <c r="F73" s="322"/>
    </row>
    <row r="74" spans="1:6">
      <c r="A74" s="1261" t="s">
        <v>63</v>
      </c>
      <c r="B74" s="1261" t="s">
        <v>670</v>
      </c>
      <c r="C74" s="1274" t="s">
        <v>672</v>
      </c>
      <c r="D74" s="1262">
        <v>6089241.2827497041</v>
      </c>
      <c r="E74" s="440"/>
      <c r="F74" s="322"/>
    </row>
    <row r="75" spans="1:6">
      <c r="A75" s="1261" t="s">
        <v>64</v>
      </c>
      <c r="B75" s="1261" t="s">
        <v>669</v>
      </c>
      <c r="C75" s="1274" t="s">
        <v>673</v>
      </c>
      <c r="D75" s="1262">
        <v>9312106</v>
      </c>
      <c r="E75" s="440"/>
      <c r="F75" s="322"/>
    </row>
    <row r="76" spans="1:6">
      <c r="A76" s="1261" t="s">
        <v>64</v>
      </c>
      <c r="B76" s="1261" t="s">
        <v>670</v>
      </c>
      <c r="C76" s="1274" t="s">
        <v>674</v>
      </c>
      <c r="D76" s="1262">
        <v>1053105.2827497039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169569.43450059209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2144.3349675329396</v>
      </c>
      <c r="C91" s="322"/>
      <c r="D91" s="322"/>
      <c r="E91" s="322"/>
      <c r="F91" s="322"/>
    </row>
    <row r="92" spans="1:6">
      <c r="A92" s="1256" t="s">
        <v>68</v>
      </c>
      <c r="B92" s="1257">
        <v>3316.2434781190732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1016</v>
      </c>
      <c r="C97" s="322"/>
      <c r="D97" s="322"/>
      <c r="E97" s="322"/>
      <c r="F97" s="322"/>
    </row>
    <row r="98" spans="1:6">
      <c r="A98" s="1261" t="s">
        <v>71</v>
      </c>
      <c r="B98" s="1262">
        <v>1</v>
      </c>
      <c r="C98" s="322"/>
      <c r="D98" s="322"/>
      <c r="E98" s="322"/>
      <c r="F98" s="322"/>
    </row>
    <row r="99" spans="1:6">
      <c r="A99" s="1261" t="s">
        <v>72</v>
      </c>
      <c r="B99" s="1262">
        <v>73</v>
      </c>
      <c r="C99" s="322"/>
      <c r="D99" s="322"/>
      <c r="E99" s="322"/>
      <c r="F99" s="322"/>
    </row>
    <row r="100" spans="1:6">
      <c r="A100" s="1261" t="s">
        <v>73</v>
      </c>
      <c r="B100" s="1262">
        <v>183</v>
      </c>
      <c r="C100" s="322"/>
      <c r="D100" s="322"/>
      <c r="E100" s="322"/>
      <c r="F100" s="322"/>
    </row>
    <row r="101" spans="1:6">
      <c r="A101" s="1261" t="s">
        <v>74</v>
      </c>
      <c r="B101" s="1262">
        <v>65</v>
      </c>
      <c r="C101" s="322"/>
      <c r="D101" s="322"/>
      <c r="E101" s="322"/>
      <c r="F101" s="322"/>
    </row>
    <row r="102" spans="1:6">
      <c r="A102" s="1261" t="s">
        <v>75</v>
      </c>
      <c r="B102" s="1262">
        <v>48</v>
      </c>
      <c r="C102" s="322"/>
      <c r="D102" s="322"/>
      <c r="E102" s="322"/>
      <c r="F102" s="322"/>
    </row>
    <row r="103" spans="1:6">
      <c r="A103" s="1261" t="s">
        <v>76</v>
      </c>
      <c r="B103" s="1262">
        <v>98</v>
      </c>
      <c r="C103" s="322"/>
      <c r="D103" s="322"/>
      <c r="E103" s="322"/>
      <c r="F103" s="322"/>
    </row>
    <row r="104" spans="1:6">
      <c r="A104" s="1261" t="s">
        <v>77</v>
      </c>
      <c r="B104" s="1262">
        <v>920</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13</v>
      </c>
      <c r="C123" s="1262">
        <v>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40</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43734.030577386038</v>
      </c>
      <c r="C3" s="43" t="s">
        <v>163</v>
      </c>
      <c r="D3" s="43"/>
      <c r="E3" s="153"/>
      <c r="F3" s="43"/>
      <c r="G3" s="43"/>
      <c r="H3" s="43"/>
      <c r="I3" s="43"/>
      <c r="J3" s="43"/>
      <c r="K3" s="96"/>
    </row>
    <row r="4" spans="1:11">
      <c r="A4" s="349" t="s">
        <v>164</v>
      </c>
      <c r="B4" s="49">
        <f>IF(ISERROR('SEAP template'!B78+'SEAP template'!C78),0,'SEAP template'!B78+'SEAP template'!C78)</f>
        <v>54866.078445652012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74.858823529411794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1.3643917270953444E-3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106.94117647058827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70579.28571428571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1.5151921047132767E-3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643.49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643.49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1.3643917270953444E-3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0.87797243246858314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10272.687</v>
      </c>
      <c r="C5" s="17">
        <f>IF(ISERROR('Eigen informatie GS &amp; warmtenet'!B57),0,'Eigen informatie GS &amp; warmtenet'!B57)</f>
        <v>0</v>
      </c>
      <c r="D5" s="30">
        <f>(SUM(HH_hh_gas_kWh,HH_rest_gas_kWh)/1000)*0.902</f>
        <v>20644.284787863155</v>
      </c>
      <c r="E5" s="17">
        <f>B32*B41</f>
        <v>612.32537631530124</v>
      </c>
      <c r="F5" s="17">
        <f>B36*B45</f>
        <v>19316.955286802327</v>
      </c>
      <c r="G5" s="18"/>
      <c r="H5" s="17"/>
      <c r="I5" s="17"/>
      <c r="J5" s="17">
        <f>B35*B44+C35*C44</f>
        <v>450.47066756295771</v>
      </c>
      <c r="K5" s="17"/>
      <c r="L5" s="17"/>
      <c r="M5" s="17"/>
      <c r="N5" s="17">
        <f>B34*B43+C34*C43</f>
        <v>3128.339022965296</v>
      </c>
      <c r="O5" s="17">
        <f>B52*B53*B54</f>
        <v>67.223333333333329</v>
      </c>
      <c r="P5" s="17">
        <f>B60*B61*B62/1000-B60*B61*B62/1000/B63</f>
        <v>286</v>
      </c>
    </row>
    <row r="6" spans="1:16">
      <c r="A6" s="16" t="s">
        <v>593</v>
      </c>
      <c r="B6" s="717">
        <f>kWh_PV_kleiner_dan_10kW</f>
        <v>2144.3349675329396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12417.021967532939</v>
      </c>
      <c r="C8" s="21">
        <f>C5</f>
        <v>0</v>
      </c>
      <c r="D8" s="21">
        <f>D5</f>
        <v>20644.284787863155</v>
      </c>
      <c r="E8" s="21">
        <f>E5</f>
        <v>612.32537631530124</v>
      </c>
      <c r="F8" s="21">
        <f>F5</f>
        <v>19316.955286802327</v>
      </c>
      <c r="G8" s="21"/>
      <c r="H8" s="21"/>
      <c r="I8" s="21"/>
      <c r="J8" s="21">
        <f>J5</f>
        <v>450.47066756295771</v>
      </c>
      <c r="K8" s="21"/>
      <c r="L8" s="21">
        <f>L5</f>
        <v>0</v>
      </c>
      <c r="M8" s="21">
        <f>M5</f>
        <v>0</v>
      </c>
      <c r="N8" s="21">
        <f>N5</f>
        <v>3128.339022965296</v>
      </c>
      <c r="O8" s="21">
        <f>O5</f>
        <v>67.223333333333329</v>
      </c>
      <c r="P8" s="21">
        <f>P5</f>
        <v>286</v>
      </c>
    </row>
    <row r="9" spans="1:16">
      <c r="B9" s="19"/>
      <c r="C9" s="19"/>
      <c r="D9" s="253"/>
      <c r="E9" s="19"/>
      <c r="F9" s="19"/>
      <c r="G9" s="19"/>
      <c r="H9" s="19"/>
      <c r="I9" s="19"/>
      <c r="J9" s="19"/>
      <c r="K9" s="19"/>
      <c r="L9" s="19"/>
      <c r="M9" s="19"/>
      <c r="N9" s="19"/>
      <c r="O9" s="19"/>
      <c r="P9" s="19"/>
    </row>
    <row r="10" spans="1:16">
      <c r="A10" s="24" t="s">
        <v>207</v>
      </c>
      <c r="B10" s="25">
        <f ca="1">'EF ele_warmte'!B12</f>
        <v>1.3643917270953444E-3</v>
      </c>
      <c r="C10" s="25">
        <f ca="1">'EF ele_warmte'!B22</f>
        <v>1.5151921047132767E-3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16.941682047663097</v>
      </c>
      <c r="C12" s="23">
        <f ca="1">C10*C8</f>
        <v>0</v>
      </c>
      <c r="D12" s="23">
        <f>D8*D10</f>
        <v>4170.1455271483574</v>
      </c>
      <c r="E12" s="23">
        <f>E10*E8</f>
        <v>138.9978604235734</v>
      </c>
      <c r="F12" s="23">
        <f>F10*F8</f>
        <v>5157.6270615762214</v>
      </c>
      <c r="G12" s="23"/>
      <c r="H12" s="23"/>
      <c r="I12" s="23"/>
      <c r="J12" s="23">
        <f>J10*J8</f>
        <v>159.46661631728702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2667</v>
      </c>
      <c r="C26" s="36"/>
      <c r="D26" s="224"/>
    </row>
    <row r="27" spans="1:5" s="15" customFormat="1">
      <c r="A27" s="226" t="s">
        <v>696</v>
      </c>
      <c r="B27" s="37">
        <f>SUM(HH_hh_gas_aantal,HH_rest_gas_aantal)</f>
        <v>1511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1435.45</v>
      </c>
      <c r="C31" s="34" t="s">
        <v>104</v>
      </c>
      <c r="D31" s="170"/>
    </row>
    <row r="32" spans="1:5">
      <c r="A32" s="167" t="s">
        <v>72</v>
      </c>
      <c r="B32" s="33">
        <f>IF((B21*($B$26-($B$27-0.05*$B$27)-$B$60))&lt;0,0,B21*($B$26-($B$27-0.05*$B$27)-$B$60))</f>
        <v>7.670615937966601</v>
      </c>
      <c r="C32" s="34" t="s">
        <v>104</v>
      </c>
      <c r="D32" s="170"/>
    </row>
    <row r="33" spans="1:6">
      <c r="A33" s="167" t="s">
        <v>73</v>
      </c>
      <c r="B33" s="33">
        <f>IF((B22*($B$26-($B$27-0.05*$B$27)-$B$60))&lt;0,0,B22*($B$26-($B$27-0.05*$B$27)-$B$60))</f>
        <v>267.11871211774462</v>
      </c>
      <c r="C33" s="34" t="s">
        <v>104</v>
      </c>
      <c r="D33" s="170"/>
    </row>
    <row r="34" spans="1:6">
      <c r="A34" s="167" t="s">
        <v>74</v>
      </c>
      <c r="B34" s="33">
        <f>IF((B24*($B$26-($B$27-0.05*$B$27)-$B$60))&lt;0,0,B24*($B$26-($B$27-0.05*$B$27)-$B$60))</f>
        <v>53.021882642041589</v>
      </c>
      <c r="C34" s="33">
        <f>B26*C24</f>
        <v>545.6673530261387</v>
      </c>
      <c r="D34" s="229"/>
    </row>
    <row r="35" spans="1:6">
      <c r="A35" s="167" t="s">
        <v>76</v>
      </c>
      <c r="B35" s="33">
        <f>IF((B19*($B$26-($B$27-0.05*$B$27)-$B$60))&lt;0,0,B19*($B$26-($B$27-0.05*$B$27)-$B$60))</f>
        <v>25.904205002751734</v>
      </c>
      <c r="C35" s="33">
        <f>B35/2</f>
        <v>12.952102501375867</v>
      </c>
      <c r="D35" s="229"/>
    </row>
    <row r="36" spans="1:6">
      <c r="A36" s="167" t="s">
        <v>77</v>
      </c>
      <c r="B36" s="33">
        <f>IF((B18*($B$26-($B$27-0.05*$B$27)-$B$60))&lt;0,0,B18*($B$26-($B$27-0.05*$B$27)-$B$60))</f>
        <v>862.83458429949576</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12383.276129999998</v>
      </c>
      <c r="C5" s="17">
        <f>IF(ISERROR('Eigen informatie GS &amp; warmtenet'!B58),0,'Eigen informatie GS &amp; warmtenet'!B58)</f>
        <v>0</v>
      </c>
      <c r="D5" s="30">
        <f>SUM(D6:D12)</f>
        <v>12110.051103899124</v>
      </c>
      <c r="E5" s="17">
        <f>SUM(E6:E12)</f>
        <v>232.3882176531277</v>
      </c>
      <c r="F5" s="17">
        <f>SUM(F6:F12)</f>
        <v>2909.9560417670891</v>
      </c>
      <c r="G5" s="18"/>
      <c r="H5" s="17"/>
      <c r="I5" s="17"/>
      <c r="J5" s="17">
        <f>SUM(J6:J12)</f>
        <v>0</v>
      </c>
      <c r="K5" s="17"/>
      <c r="L5" s="17"/>
      <c r="M5" s="17"/>
      <c r="N5" s="17">
        <f>SUM(N6:N12)</f>
        <v>955.73815158582966</v>
      </c>
      <c r="O5" s="17">
        <f>B38*B39*B40</f>
        <v>0</v>
      </c>
      <c r="P5" s="17">
        <f>B46*B47*B48/1000-B46*B47*B48/1000/B49</f>
        <v>0</v>
      </c>
      <c r="R5" s="32"/>
    </row>
    <row r="6" spans="1:18">
      <c r="A6" s="32" t="s">
        <v>53</v>
      </c>
      <c r="B6" s="37">
        <f>B26</f>
        <v>2486.511</v>
      </c>
      <c r="C6" s="33"/>
      <c r="D6" s="37">
        <f>IF(ISERROR(TER_kantoor_gas_kWh/1000),0,TER_kantoor_gas_kWh/1000)*0.902</f>
        <v>1938.6641294138462</v>
      </c>
      <c r="E6" s="33">
        <f>$C$26*'E Balans VL '!I12/100/3.6*1000000</f>
        <v>3.4870806021993446E-2</v>
      </c>
      <c r="F6" s="33">
        <f>$C$26*('E Balans VL '!L12+'E Balans VL '!N12)/100/3.6*1000000</f>
        <v>345.62094888166183</v>
      </c>
      <c r="G6" s="34"/>
      <c r="H6" s="33"/>
      <c r="I6" s="33"/>
      <c r="J6" s="33">
        <f>$C$26*('E Balans VL '!D12+'E Balans VL '!E12)/100/3.6*1000000</f>
        <v>0</v>
      </c>
      <c r="K6" s="33"/>
      <c r="L6" s="33"/>
      <c r="M6" s="33"/>
      <c r="N6" s="33">
        <f>$C$26*'E Balans VL '!Y12/100/3.6*1000000</f>
        <v>30.775006531916876</v>
      </c>
      <c r="O6" s="33"/>
      <c r="P6" s="33"/>
      <c r="R6" s="32"/>
    </row>
    <row r="7" spans="1:18">
      <c r="A7" s="32" t="s">
        <v>52</v>
      </c>
      <c r="B7" s="37">
        <f t="shared" ref="B7:B12" si="0">B27</f>
        <v>456.0566</v>
      </c>
      <c r="C7" s="33"/>
      <c r="D7" s="37">
        <f>IF(ISERROR(TER_horeca_gas_kWh/1000),0,TER_horeca_gas_kWh/1000)*0.902</f>
        <v>559.93370443790059</v>
      </c>
      <c r="E7" s="33">
        <f>$C$27*'E Balans VL '!I9/100/3.6*1000000</f>
        <v>6.5098613570502675</v>
      </c>
      <c r="F7" s="33">
        <f>$C$27*('E Balans VL '!L9+'E Balans VL '!N9)/100/3.6*1000000</f>
        <v>70.898463199113024</v>
      </c>
      <c r="G7" s="34"/>
      <c r="H7" s="33"/>
      <c r="I7" s="33"/>
      <c r="J7" s="33">
        <f>$C$27*('E Balans VL '!D9+'E Balans VL '!E9)/100/3.6*1000000</f>
        <v>0</v>
      </c>
      <c r="K7" s="33"/>
      <c r="L7" s="33"/>
      <c r="M7" s="33"/>
      <c r="N7" s="33">
        <f>$C$27*'E Balans VL '!Y9/100/3.6*1000000</f>
        <v>0.11751861015039565</v>
      </c>
      <c r="O7" s="33"/>
      <c r="P7" s="33"/>
      <c r="R7" s="32"/>
    </row>
    <row r="8" spans="1:18">
      <c r="A8" s="6" t="s">
        <v>51</v>
      </c>
      <c r="B8" s="37">
        <f t="shared" si="0"/>
        <v>5075.6049999999996</v>
      </c>
      <c r="C8" s="33"/>
      <c r="D8" s="37">
        <f>IF(ISERROR(TER_handel_gas_kWh/1000),0,TER_handel_gas_kWh/1000)*0.902</f>
        <v>4443.1424799003971</v>
      </c>
      <c r="E8" s="33">
        <f>$C$28*'E Balans VL '!I13/100/3.6*1000000</f>
        <v>137.37242731066382</v>
      </c>
      <c r="F8" s="33">
        <f>$C$28*('E Balans VL '!L13+'E Balans VL '!N13)/100/3.6*1000000</f>
        <v>788.14687773120522</v>
      </c>
      <c r="G8" s="34"/>
      <c r="H8" s="33"/>
      <c r="I8" s="33"/>
      <c r="J8" s="33">
        <f>$C$28*('E Balans VL '!D13+'E Balans VL '!E13)/100/3.6*1000000</f>
        <v>0</v>
      </c>
      <c r="K8" s="33"/>
      <c r="L8" s="33"/>
      <c r="M8" s="33"/>
      <c r="N8" s="33">
        <f>$C$28*'E Balans VL '!Y13/100/3.6*1000000</f>
        <v>41.126000240019152</v>
      </c>
      <c r="O8" s="33"/>
      <c r="P8" s="33"/>
      <c r="R8" s="32"/>
    </row>
    <row r="9" spans="1:18">
      <c r="A9" s="32" t="s">
        <v>50</v>
      </c>
      <c r="B9" s="37">
        <f t="shared" si="0"/>
        <v>109.34339999999999</v>
      </c>
      <c r="C9" s="33"/>
      <c r="D9" s="37">
        <f>IF(ISERROR(TER_gezond_gas_kWh/1000),0,TER_gezond_gas_kWh/1000)*0.902</f>
        <v>223.89947226722927</v>
      </c>
      <c r="E9" s="33">
        <f>$C$29*'E Balans VL '!I10/100/3.6*1000000</f>
        <v>6.8229713205491651E-3</v>
      </c>
      <c r="F9" s="33">
        <f>$C$29*('E Balans VL '!L10+'E Balans VL '!N10)/100/3.6*1000000</f>
        <v>14.155544226921457</v>
      </c>
      <c r="G9" s="34"/>
      <c r="H9" s="33"/>
      <c r="I9" s="33"/>
      <c r="J9" s="33">
        <f>$C$29*('E Balans VL '!D10+'E Balans VL '!E10)/100/3.6*1000000</f>
        <v>0</v>
      </c>
      <c r="K9" s="33"/>
      <c r="L9" s="33"/>
      <c r="M9" s="33"/>
      <c r="N9" s="33">
        <f>$C$29*'E Balans VL '!Y10/100/3.6*1000000</f>
        <v>0.89650903009637339</v>
      </c>
      <c r="O9" s="33"/>
      <c r="P9" s="33"/>
      <c r="R9" s="32"/>
    </row>
    <row r="10" spans="1:18">
      <c r="A10" s="32" t="s">
        <v>49</v>
      </c>
      <c r="B10" s="37">
        <f t="shared" si="0"/>
        <v>1672.884</v>
      </c>
      <c r="C10" s="33"/>
      <c r="D10" s="37">
        <f>IF(ISERROR(TER_ander_gas_kWh/1000),0,TER_ander_gas_kWh/1000)*0.902</f>
        <v>623.33728644416135</v>
      </c>
      <c r="E10" s="33">
        <f>$C$30*'E Balans VL '!I14/100/3.6*1000000</f>
        <v>50.503586959265192</v>
      </c>
      <c r="F10" s="33">
        <f>$C$30*('E Balans VL '!L14+'E Balans VL '!N14)/100/3.6*1000000</f>
        <v>1059.1829432680033</v>
      </c>
      <c r="G10" s="34"/>
      <c r="H10" s="33"/>
      <c r="I10" s="33"/>
      <c r="J10" s="33">
        <f>$C$30*('E Balans VL '!D14+'E Balans VL '!E14)/100/3.6*1000000</f>
        <v>0</v>
      </c>
      <c r="K10" s="33"/>
      <c r="L10" s="33"/>
      <c r="M10" s="33"/>
      <c r="N10" s="33">
        <f>$C$30*'E Balans VL '!Y14/100/3.6*1000000</f>
        <v>677.12110328076778</v>
      </c>
      <c r="O10" s="33"/>
      <c r="P10" s="33"/>
      <c r="R10" s="32"/>
    </row>
    <row r="11" spans="1:18">
      <c r="A11" s="32" t="s">
        <v>54</v>
      </c>
      <c r="B11" s="37">
        <f t="shared" si="0"/>
        <v>41.354129999999998</v>
      </c>
      <c r="C11" s="33"/>
      <c r="D11" s="37">
        <f>IF(ISERROR(TER_onderwijs_gas_kWh/1000),0,TER_onderwijs_gas_kWh/1000)*0.902</f>
        <v>350.22172339931035</v>
      </c>
      <c r="E11" s="33">
        <f>$C$31*'E Balans VL '!I11/100/3.6*1000000</f>
        <v>5.2080337579286207E-2</v>
      </c>
      <c r="F11" s="33">
        <f>$C$31*('E Balans VL '!L11+'E Balans VL '!N11)/100/3.6*1000000</f>
        <v>15.361178565856777</v>
      </c>
      <c r="G11" s="34"/>
      <c r="H11" s="33"/>
      <c r="I11" s="33"/>
      <c r="J11" s="33">
        <f>$C$31*('E Balans VL '!D11+'E Balans VL '!E11)/100/3.6*1000000</f>
        <v>0</v>
      </c>
      <c r="K11" s="33"/>
      <c r="L11" s="33"/>
      <c r="M11" s="33"/>
      <c r="N11" s="33">
        <f>$C$31*'E Balans VL '!Y11/100/3.6*1000000</f>
        <v>5.2367387893237777E-2</v>
      </c>
      <c r="O11" s="33"/>
      <c r="P11" s="33"/>
      <c r="R11" s="32"/>
    </row>
    <row r="12" spans="1:18">
      <c r="A12" s="32" t="s">
        <v>249</v>
      </c>
      <c r="B12" s="37">
        <f t="shared" si="0"/>
        <v>2541.5219999999999</v>
      </c>
      <c r="C12" s="33"/>
      <c r="D12" s="37">
        <f>IF(ISERROR(TER_rest_gas_kWh/1000),0,TER_rest_gas_kWh/1000)*0.902</f>
        <v>3970.8523080362775</v>
      </c>
      <c r="E12" s="33">
        <f>$C$32*'E Balans VL '!I8/100/3.6*1000000</f>
        <v>37.908567911226548</v>
      </c>
      <c r="F12" s="33">
        <f>$C$32*('E Balans VL '!L8+'E Balans VL '!N8)/100/3.6*1000000</f>
        <v>616.5900858943279</v>
      </c>
      <c r="G12" s="34"/>
      <c r="H12" s="33"/>
      <c r="I12" s="33"/>
      <c r="J12" s="33">
        <f>$C$32*('E Balans VL '!D8+'E Balans VL '!E8)/100/3.6*1000000</f>
        <v>0</v>
      </c>
      <c r="K12" s="33"/>
      <c r="L12" s="33"/>
      <c r="M12" s="33"/>
      <c r="N12" s="33">
        <f>$C$32*'E Balans VL '!Y8/100/3.6*1000000</f>
        <v>205.64964650498584</v>
      </c>
      <c r="O12" s="33"/>
      <c r="P12" s="33"/>
      <c r="R12" s="32"/>
    </row>
    <row r="13" spans="1:18">
      <c r="A13" s="16" t="s">
        <v>480</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12383.276129999998</v>
      </c>
      <c r="C16" s="21">
        <f t="shared" ca="1" si="1"/>
        <v>0</v>
      </c>
      <c r="D16" s="21">
        <f t="shared" ca="1" si="1"/>
        <v>12110.051103899124</v>
      </c>
      <c r="E16" s="21">
        <f t="shared" si="1"/>
        <v>232.3882176531277</v>
      </c>
      <c r="F16" s="21">
        <f t="shared" ca="1" si="1"/>
        <v>2909.9560417670891</v>
      </c>
      <c r="G16" s="21">
        <f t="shared" si="1"/>
        <v>0</v>
      </c>
      <c r="H16" s="21">
        <f t="shared" si="1"/>
        <v>0</v>
      </c>
      <c r="I16" s="21">
        <f t="shared" si="1"/>
        <v>0</v>
      </c>
      <c r="J16" s="21">
        <f t="shared" si="1"/>
        <v>0</v>
      </c>
      <c r="K16" s="21">
        <f t="shared" si="1"/>
        <v>0</v>
      </c>
      <c r="L16" s="21">
        <f t="shared" ca="1" si="1"/>
        <v>0</v>
      </c>
      <c r="M16" s="21">
        <f t="shared" si="1"/>
        <v>0</v>
      </c>
      <c r="N16" s="21">
        <f t="shared" ca="1" si="1"/>
        <v>955.73815158582966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1.3643917270953444E-3</v>
      </c>
      <c r="C18" s="25">
        <f ca="1">'EF ele_warmte'!B22</f>
        <v>1.5151921047132767E-3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16.895639506109251</v>
      </c>
      <c r="C20" s="23">
        <f t="shared" ref="C20:P20" ca="1" si="2">C16*C18</f>
        <v>0</v>
      </c>
      <c r="D20" s="23">
        <f t="shared" ca="1" si="2"/>
        <v>2446.2303229876234</v>
      </c>
      <c r="E20" s="23">
        <f t="shared" si="2"/>
        <v>52.752125407259989</v>
      </c>
      <c r="F20" s="23">
        <f t="shared" ca="1" si="2"/>
        <v>776.95826315181284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2486.511</v>
      </c>
      <c r="C26" s="39">
        <f>IF(ISERROR(B26*3.6/1000000/'E Balans VL '!Z12*100),0,B26*3.6/1000000/'E Balans VL '!Z12*100)</f>
        <v>6.753829794043742E-2</v>
      </c>
      <c r="D26" s="232" t="s">
        <v>651</v>
      </c>
      <c r="F26" s="6"/>
    </row>
    <row r="27" spans="1:18">
      <c r="A27" s="227" t="s">
        <v>52</v>
      </c>
      <c r="B27" s="33">
        <f>IF(ISERROR(TER_horeca_ele_kWh/1000),0,TER_horeca_ele_kWh/1000)</f>
        <v>456.0566</v>
      </c>
      <c r="C27" s="39">
        <f>IF(ISERROR(B27*3.6/1000000/'E Balans VL '!Z9*100),0,B27*3.6/1000000/'E Balans VL '!Z9*100)</f>
        <v>3.6647699886257129E-2</v>
      </c>
      <c r="D27" s="232" t="s">
        <v>651</v>
      </c>
      <c r="F27" s="6"/>
    </row>
    <row r="28" spans="1:18">
      <c r="A28" s="167" t="s">
        <v>51</v>
      </c>
      <c r="B28" s="33">
        <f>IF(ISERROR(TER_handel_ele_kWh/1000),0,TER_handel_ele_kWh/1000)</f>
        <v>5075.6049999999996</v>
      </c>
      <c r="C28" s="39">
        <f>IF(ISERROR(B28*3.6/1000000/'E Balans VL '!Z13*100),0,B28*3.6/1000000/'E Balans VL '!Z13*100)</f>
        <v>0.14990864281343044</v>
      </c>
      <c r="D28" s="232" t="s">
        <v>651</v>
      </c>
      <c r="F28" s="6"/>
    </row>
    <row r="29" spans="1:18">
      <c r="A29" s="227" t="s">
        <v>50</v>
      </c>
      <c r="B29" s="33">
        <f>IF(ISERROR(TER_gezond_ele_kWh/1000),0,TER_gezond_ele_kWh/1000)</f>
        <v>109.34339999999999</v>
      </c>
      <c r="C29" s="39">
        <f>IF(ISERROR(B29*3.6/1000000/'E Balans VL '!Z10*100),0,B29*3.6/1000000/'E Balans VL '!Z10*100)</f>
        <v>1.2505166488635394E-2</v>
      </c>
      <c r="D29" s="232" t="s">
        <v>651</v>
      </c>
      <c r="F29" s="6"/>
    </row>
    <row r="30" spans="1:18">
      <c r="A30" s="227" t="s">
        <v>49</v>
      </c>
      <c r="B30" s="33">
        <f>IF(ISERROR(TER_ander_ele_kWh/1000),0,TER_ander_ele_kWh/1000)</f>
        <v>1672.884</v>
      </c>
      <c r="C30" s="39">
        <f>IF(ISERROR(B30*3.6/1000000/'E Balans VL '!Z14*100),0,B30*3.6/1000000/'E Balans VL '!Z14*100)</f>
        <v>7.8177354961328285E-2</v>
      </c>
      <c r="D30" s="232" t="s">
        <v>651</v>
      </c>
      <c r="F30" s="6"/>
    </row>
    <row r="31" spans="1:18">
      <c r="A31" s="227" t="s">
        <v>54</v>
      </c>
      <c r="B31" s="33">
        <f>IF(ISERROR(TER_onderwijs_ele_kWh/1000),0,TER_onderwijs_ele_kWh/1000)</f>
        <v>41.354129999999998</v>
      </c>
      <c r="C31" s="39">
        <f>IF(ISERROR(B31*3.6/1000000/'E Balans VL '!Z11*100),0,B31*3.6/1000000/'E Balans VL '!Z11*100)</f>
        <v>1.0920325656149841E-2</v>
      </c>
      <c r="D31" s="232" t="s">
        <v>651</v>
      </c>
    </row>
    <row r="32" spans="1:18">
      <c r="A32" s="227" t="s">
        <v>249</v>
      </c>
      <c r="B32" s="33">
        <f>IF(ISERROR(TER_rest_ele_kWh/1000),0,TER_rest_ele_kWh/1000)</f>
        <v>2541.5219999999999</v>
      </c>
      <c r="C32" s="39">
        <f>IF(ISERROR(B32*3.6/1000000/'E Balans VL '!Z8*100),0,B32*3.6/1000000/'E Balans VL '!Z8*100)</f>
        <v>2.17135073658213E-2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9133.1172999999999</v>
      </c>
      <c r="C5" s="17">
        <f>IF(ISERROR('Eigen informatie GS &amp; warmtenet'!B59),0,'Eigen informatie GS &amp; warmtenet'!B59)</f>
        <v>0</v>
      </c>
      <c r="D5" s="30">
        <f>SUM(D6:D15)</f>
        <v>2492.7759502176377</v>
      </c>
      <c r="E5" s="17">
        <f>SUM(E6:E15)</f>
        <v>720.83202647462076</v>
      </c>
      <c r="F5" s="17">
        <f>SUM(F6:F15)</f>
        <v>3260.154826471568</v>
      </c>
      <c r="G5" s="18"/>
      <c r="H5" s="17"/>
      <c r="I5" s="17"/>
      <c r="J5" s="17">
        <f>SUM(J6:J15)</f>
        <v>35.27656100322374</v>
      </c>
      <c r="K5" s="17"/>
      <c r="L5" s="17"/>
      <c r="M5" s="17"/>
      <c r="N5" s="17">
        <f>SUM(N6:N15)</f>
        <v>630.09864657289233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640.71430000000009</v>
      </c>
      <c r="C8" s="33"/>
      <c r="D8" s="37">
        <f>IF( ISERROR(IND_metaal_Gas_kWH/1000),0,IND_metaal_Gas_kWH/1000)*0.902</f>
        <v>136.93573062536305</v>
      </c>
      <c r="E8" s="33">
        <f>C30*'E Balans VL '!I18/100/3.6*1000000</f>
        <v>16.034836476991408</v>
      </c>
      <c r="F8" s="33">
        <f>C30*'E Balans VL '!L18/100/3.6*1000000+C30*'E Balans VL '!N18/100/3.6*1000000</f>
        <v>200.80304869683312</v>
      </c>
      <c r="G8" s="34"/>
      <c r="H8" s="33"/>
      <c r="I8" s="33"/>
      <c r="J8" s="40">
        <f>C30*'E Balans VL '!D18/100/3.6*1000000+C30*'E Balans VL '!E18/100/3.6*1000000</f>
        <v>0</v>
      </c>
      <c r="K8" s="33"/>
      <c r="L8" s="33"/>
      <c r="M8" s="33"/>
      <c r="N8" s="33">
        <f>C30*'E Balans VL '!Y18/100/3.6*1000000</f>
        <v>16.096406014605662</v>
      </c>
      <c r="O8" s="33"/>
      <c r="P8" s="33"/>
      <c r="R8" s="32"/>
    </row>
    <row r="9" spans="1:18">
      <c r="A9" s="6" t="s">
        <v>32</v>
      </c>
      <c r="B9" s="37">
        <f t="shared" si="0"/>
        <v>1262.7070000000001</v>
      </c>
      <c r="C9" s="33"/>
      <c r="D9" s="37">
        <f>IF( ISERROR(IND_andere_gas_kWh/1000),0,IND_andere_gas_kWh/1000)*0.902</f>
        <v>485.58971290405822</v>
      </c>
      <c r="E9" s="33">
        <f>C31*'E Balans VL '!I19/100/3.6*1000000</f>
        <v>347.19263500219586</v>
      </c>
      <c r="F9" s="33">
        <f>C31*'E Balans VL '!L19/100/3.6*1000000+C31*'E Balans VL '!N19/100/3.6*1000000</f>
        <v>995.23284279393556</v>
      </c>
      <c r="G9" s="34"/>
      <c r="H9" s="33"/>
      <c r="I9" s="33"/>
      <c r="J9" s="40">
        <f>C31*'E Balans VL '!D19/100/3.6*1000000+C31*'E Balans VL '!E19/100/3.6*1000000</f>
        <v>0</v>
      </c>
      <c r="K9" s="33"/>
      <c r="L9" s="33"/>
      <c r="M9" s="33"/>
      <c r="N9" s="33">
        <f>C31*'E Balans VL '!Y19/100/3.6*1000000</f>
        <v>101.72447162172696</v>
      </c>
      <c r="O9" s="33"/>
      <c r="P9" s="33"/>
      <c r="R9" s="32"/>
    </row>
    <row r="10" spans="1:18">
      <c r="A10" s="6" t="s">
        <v>40</v>
      </c>
      <c r="B10" s="37">
        <f t="shared" si="0"/>
        <v>250.56299999999999</v>
      </c>
      <c r="C10" s="33"/>
      <c r="D10" s="37">
        <f>IF( ISERROR(IND_voed_gas_kWh/1000),0,IND_voed_gas_kWh/1000)*0.902</f>
        <v>157.89390435337143</v>
      </c>
      <c r="E10" s="33">
        <f>C32*'E Balans VL '!I20/100/3.6*1000000</f>
        <v>2.5543517490556633</v>
      </c>
      <c r="F10" s="33">
        <f>C32*'E Balans VL '!L20/100/3.6*1000000+C32*'E Balans VL '!N20/100/3.6*1000000</f>
        <v>473.31193987971062</v>
      </c>
      <c r="G10" s="34"/>
      <c r="H10" s="33"/>
      <c r="I10" s="33"/>
      <c r="J10" s="40">
        <f>C32*'E Balans VL '!D20/100/3.6*1000000+C32*'E Balans VL '!E20/100/3.6*1000000</f>
        <v>5.9967924358477669</v>
      </c>
      <c r="K10" s="33"/>
      <c r="L10" s="33"/>
      <c r="M10" s="33"/>
      <c r="N10" s="33">
        <f>C32*'E Balans VL '!Y20/100/3.6*1000000</f>
        <v>132.0755623185222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6979.1329999999998</v>
      </c>
      <c r="C15" s="33"/>
      <c r="D15" s="37">
        <f>IF( ISERROR(IND_rest_gas_kWh/1000),0,IND_rest_gas_kWh/1000)*0.902</f>
        <v>1712.3566023348451</v>
      </c>
      <c r="E15" s="33">
        <f>C37*'E Balans VL '!I15/100/3.6*1000000</f>
        <v>355.05020324637786</v>
      </c>
      <c r="F15" s="33">
        <f>C37*'E Balans VL '!L15/100/3.6*1000000+C37*'E Balans VL '!N15/100/3.6*1000000</f>
        <v>1590.8069951010884</v>
      </c>
      <c r="G15" s="34"/>
      <c r="H15" s="33"/>
      <c r="I15" s="33"/>
      <c r="J15" s="40">
        <f>C37*'E Balans VL '!D15/100/3.6*1000000+C37*'E Balans VL '!E15/100/3.6*1000000</f>
        <v>29.279768567375971</v>
      </c>
      <c r="K15" s="33"/>
      <c r="L15" s="33"/>
      <c r="M15" s="33"/>
      <c r="N15" s="33">
        <f>C37*'E Balans VL '!Y15/100/3.6*1000000</f>
        <v>380.20220661803751</v>
      </c>
      <c r="O15" s="33"/>
      <c r="P15" s="33"/>
      <c r="R15" s="32"/>
    </row>
    <row r="16" spans="1:18">
      <c r="A16" s="16" t="s">
        <v>480</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9133.1172999999999</v>
      </c>
      <c r="C18" s="21">
        <f>C5+C16</f>
        <v>0</v>
      </c>
      <c r="D18" s="21">
        <f>MAX((D5+D16),0)</f>
        <v>2492.7759502176377</v>
      </c>
      <c r="E18" s="21">
        <f>MAX((E5+E16),0)</f>
        <v>720.83202647462076</v>
      </c>
      <c r="F18" s="21">
        <f>MAX((F5+F16),0)</f>
        <v>3260.154826471568</v>
      </c>
      <c r="G18" s="21"/>
      <c r="H18" s="21"/>
      <c r="I18" s="21"/>
      <c r="J18" s="21">
        <f>MAX((J5+J16),0)</f>
        <v>35.27656100322374</v>
      </c>
      <c r="K18" s="21"/>
      <c r="L18" s="21">
        <f>MAX((L5+L16),0)</f>
        <v>0</v>
      </c>
      <c r="M18" s="21"/>
      <c r="N18" s="21">
        <f>MAX((N5+N16),0)</f>
        <v>630.09864657289233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1.3643917270953444E-3</v>
      </c>
      <c r="C20" s="25">
        <f ca="1">'EF ele_warmte'!B22</f>
        <v>1.5151921047132767E-3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12.461149686711368</v>
      </c>
      <c r="C22" s="23">
        <f ca="1">C18*C20</f>
        <v>0</v>
      </c>
      <c r="D22" s="23">
        <f>D18*D20</f>
        <v>503.54074194396287</v>
      </c>
      <c r="E22" s="23">
        <f>E18*E20</f>
        <v>163.6288700097389</v>
      </c>
      <c r="F22" s="23">
        <f>F18*F20</f>
        <v>870.46133866790865</v>
      </c>
      <c r="G22" s="23"/>
      <c r="H22" s="23"/>
      <c r="I22" s="23"/>
      <c r="J22" s="23">
        <f>J18*J20</f>
        <v>12.487902595141204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640.71430000000009</v>
      </c>
      <c r="C30" s="39">
        <f>IF(ISERROR(B30*3.6/1000000/'E Balans VL '!Z18*100),0,B30*3.6/1000000/'E Balans VL '!Z18*100)</f>
        <v>8.9678649960070023E-2</v>
      </c>
      <c r="D30" s="232" t="s">
        <v>651</v>
      </c>
    </row>
    <row r="31" spans="1:18">
      <c r="A31" s="6" t="s">
        <v>32</v>
      </c>
      <c r="B31" s="37">
        <f>IF( ISERROR(IND_ander_ele_kWh/1000),0,IND_ander_ele_kWh/1000)</f>
        <v>1262.7070000000001</v>
      </c>
      <c r="C31" s="39">
        <f>IF(ISERROR(B31*3.6/1000000/'E Balans VL '!Z19*100),0,B31*3.6/1000000/'E Balans VL '!Z19*100)</f>
        <v>5.5268480549822065E-2</v>
      </c>
      <c r="D31" s="232" t="s">
        <v>651</v>
      </c>
    </row>
    <row r="32" spans="1:18">
      <c r="A32" s="167" t="s">
        <v>40</v>
      </c>
      <c r="B32" s="37">
        <f>IF( ISERROR(IND_voed_ele_kWh/1000),0,IND_voed_ele_kWh/1000)</f>
        <v>250.56299999999999</v>
      </c>
      <c r="C32" s="39">
        <f>IF(ISERROR(B32*3.6/1000000/'E Balans VL '!Z20*100),0,B32*3.6/1000000/'E Balans VL '!Z20*100)</f>
        <v>6.2031078013196801E-2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6979.1329999999998</v>
      </c>
      <c r="C37" s="39">
        <f>IF(ISERROR(B37*3.6/1000000/'E Balans VL '!Z15*100),0,B37*3.6/1000000/'E Balans VL '!Z15*100)</f>
        <v>5.1749076316867412E-2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8336.2264199999991</v>
      </c>
      <c r="C5" s="17">
        <f>'Eigen informatie GS &amp; warmtenet'!B60</f>
        <v>0</v>
      </c>
      <c r="D5" s="30">
        <f>IF(ISERROR(SUM(LB_lb_gas_kWh,LB_rest_gas_kWh)/1000),0,SUM(LB_lb_gas_kWh,LB_rest_gas_kWh)/1000)*0.902</f>
        <v>2763.1595023605323</v>
      </c>
      <c r="E5" s="17">
        <f>B17*'E Balans VL '!I25/3.6*1000000/100</f>
        <v>178.75819964962378</v>
      </c>
      <c r="F5" s="17">
        <f>B17*('E Balans VL '!L25/3.6*1000000+'E Balans VL '!N25/3.6*1000000)/100</f>
        <v>27040.047296728375</v>
      </c>
      <c r="G5" s="18"/>
      <c r="H5" s="17"/>
      <c r="I5" s="17"/>
      <c r="J5" s="17">
        <f>('E Balans VL '!D25+'E Balans VL '!E25)/3.6*1000000*landbouw!B17/100</f>
        <v>803.19982109929526</v>
      </c>
      <c r="K5" s="17"/>
      <c r="L5" s="17">
        <f>L6*(-1)</f>
        <v>0</v>
      </c>
      <c r="M5" s="17"/>
      <c r="N5" s="17">
        <f>N6*(-1)</f>
        <v>140258.57142857142</v>
      </c>
      <c r="O5" s="17"/>
      <c r="P5" s="17"/>
      <c r="R5" s="32"/>
    </row>
    <row r="6" spans="1:18">
      <c r="A6" s="16" t="s">
        <v>480</v>
      </c>
      <c r="B6" s="17" t="s">
        <v>204</v>
      </c>
      <c r="C6" s="17">
        <f>'lokale energieproductie'!O41+'lokale energieproductie'!O34</f>
        <v>70579.28571428571</v>
      </c>
      <c r="D6" s="300">
        <f>('lokale energieproductie'!P34+'lokale energieproductie'!P41)*(-1)</f>
        <v>-900.00000000000023</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-140258.57142857142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8336.2264199999991</v>
      </c>
      <c r="C8" s="21">
        <f>C5+C6</f>
        <v>70579.28571428571</v>
      </c>
      <c r="D8" s="21">
        <f>MAX((D5+D6),0)</f>
        <v>1863.1595023605321</v>
      </c>
      <c r="E8" s="21">
        <f>MAX((E5+E6),0)</f>
        <v>178.75819964962378</v>
      </c>
      <c r="F8" s="21">
        <f>MAX((F5+F6),0)</f>
        <v>27040.047296728375</v>
      </c>
      <c r="G8" s="21"/>
      <c r="H8" s="21"/>
      <c r="I8" s="21"/>
      <c r="J8" s="21">
        <f>MAX((J5+J6),0)</f>
        <v>803.19982109929526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1.3643917270953444E-3</v>
      </c>
      <c r="C10" s="31">
        <f ca="1">'EF ele_warmte'!B22</f>
        <v>1.5151921047132767E-3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11.373878362641639</v>
      </c>
      <c r="C12" s="23">
        <f ca="1">C8*C10</f>
        <v>106.94117647058827</v>
      </c>
      <c r="D12" s="23">
        <f>D8*D10</f>
        <v>376.35821947682751</v>
      </c>
      <c r="E12" s="23">
        <f>E8*E10</f>
        <v>40.5781113204646</v>
      </c>
      <c r="F12" s="23">
        <f>F8*F10</f>
        <v>7219.6926282264767</v>
      </c>
      <c r="G12" s="23"/>
      <c r="H12" s="23"/>
      <c r="I12" s="23"/>
      <c r="J12" s="23">
        <f>J8*J10</f>
        <v>284.33273666915051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1.1852346383713444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449.25767079506954</v>
      </c>
      <c r="C26" s="242">
        <f>B26*'GWP N2O_CH4'!B5</f>
        <v>9434.4110866964602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607.06618719796222</v>
      </c>
      <c r="C27" s="242">
        <f>B27*'GWP N2O_CH4'!B5</f>
        <v>12748.389931157206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8.2101078123644644</v>
      </c>
      <c r="C28" s="242">
        <f>B28*'GWP N2O_CH4'!B4</f>
        <v>2545.1334218329839</v>
      </c>
      <c r="D28" s="50"/>
    </row>
    <row r="29" spans="1:4">
      <c r="A29" s="41" t="s">
        <v>266</v>
      </c>
      <c r="B29" s="242">
        <f>B34*'ha_N2O bodem landbouw'!B4</f>
        <v>16.562707443268625</v>
      </c>
      <c r="C29" s="242">
        <f>B29*'GWP N2O_CH4'!B4</f>
        <v>5134.439307413274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3.7147234891676171E-3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3.2093590863356783E-5</v>
      </c>
      <c r="C5" s="428" t="s">
        <v>204</v>
      </c>
      <c r="D5" s="413">
        <f>SUM(D6:D11)</f>
        <v>4.9713771712583915E-5</v>
      </c>
      <c r="E5" s="413">
        <f>SUM(E6:E11)</f>
        <v>4.8021582183165528E-4</v>
      </c>
      <c r="F5" s="426" t="s">
        <v>204</v>
      </c>
      <c r="G5" s="413">
        <f>SUM(G6:G11)</f>
        <v>0.17946702824344096</v>
      </c>
      <c r="H5" s="413">
        <f>SUM(H6:H11)</f>
        <v>3.0461101434112032E-2</v>
      </c>
      <c r="I5" s="428" t="s">
        <v>204</v>
      </c>
      <c r="J5" s="428" t="s">
        <v>204</v>
      </c>
      <c r="K5" s="428" t="s">
        <v>204</v>
      </c>
      <c r="L5" s="428" t="s">
        <v>204</v>
      </c>
      <c r="M5" s="413">
        <f>SUM(M6:M11)</f>
        <v>1.1334137889051814E-2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2.5376421100599309E-5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3.8379978409258824E-5</v>
      </c>
      <c r="E6" s="819">
        <f>vkm_GW_PW*SUMIFS(TableVerdeelsleutelVkm[LPG],TableVerdeelsleutelVkm[Voertuigtype],"Lichte voertuigen")*SUMIFS(TableECFTransport[EnergieConsumptieFactor (PJ per km)],TableECFTransport[Index],CONCATENATE($A6,"_LPG_LPG"))</f>
        <v>3.7492592723439752E-4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8.7052678904427291E-2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2.3711501046967096E-2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5.7703352212555587E-3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1.4843281120174455E-6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5.696882862252594E-2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1.2765300307621639E-6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3.3029291288293812E-3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4.9761341721699559E-6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1.1333793303325089E-5</v>
      </c>
      <c r="E8" s="416">
        <f>vkm_NGW_PW*SUMIFS(TableVerdeelsleutelVkm[LPG],TableVerdeelsleutelVkm[Voertuigtype],"Lichte voertuigen")*SUMIFS(TableECFTransport[EnergieConsumptieFactor (PJ per km)],TableECFTransport[Index],CONCATENATE($A8,"_LPG_LPG"))</f>
        <v>1.0528989459725776E-4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2.2786904154017087E-2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6.7480573823474489E-3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1.5269549286784664E-3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2.5670747857007179E-7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1.2658616562470623E-2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2.6647476671981649E-7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7.339186102884081E-4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8.9148863509324396</v>
      </c>
      <c r="C14" s="21"/>
      <c r="D14" s="21">
        <f t="shared" ref="D14:M14" si="0">((D5)*10^9/3600)+D12</f>
        <v>13.809381031273309</v>
      </c>
      <c r="E14" s="21">
        <f t="shared" si="0"/>
        <v>133.39328384212646</v>
      </c>
      <c r="F14" s="21"/>
      <c r="G14" s="21">
        <f t="shared" si="0"/>
        <v>49851.95228984471</v>
      </c>
      <c r="H14" s="21">
        <f t="shared" si="0"/>
        <v>8461.4170650311189</v>
      </c>
      <c r="I14" s="21"/>
      <c r="J14" s="21"/>
      <c r="K14" s="21"/>
      <c r="L14" s="21"/>
      <c r="M14" s="21">
        <f t="shared" si="0"/>
        <v>3148.3716358477259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1.3643917270953444E-3</v>
      </c>
      <c r="C16" s="56">
        <f ca="1">'EF ele_warmte'!B22</f>
        <v>1.5151921047132767E-3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1.2163397185207423E-2</v>
      </c>
      <c r="C18" s="23"/>
      <c r="D18" s="23">
        <f t="shared" ref="D18:M18" si="1">D14*D16</f>
        <v>2.7894949683172086</v>
      </c>
      <c r="E18" s="23">
        <f t="shared" si="1"/>
        <v>30.280275432162707</v>
      </c>
      <c r="F18" s="23"/>
      <c r="G18" s="23">
        <f t="shared" si="1"/>
        <v>13310.471261388539</v>
      </c>
      <c r="H18" s="23">
        <f t="shared" si="1"/>
        <v>2106.8928491927486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1.1285544607815684E-5</v>
      </c>
      <c r="C50" s="311">
        <f t="shared" ref="C50:P50" si="2">SUM(C51:C52)</f>
        <v>0</v>
      </c>
      <c r="D50" s="311">
        <f t="shared" si="2"/>
        <v>0</v>
      </c>
      <c r="E50" s="311">
        <f t="shared" si="2"/>
        <v>0</v>
      </c>
      <c r="F50" s="311">
        <f t="shared" si="2"/>
        <v>0</v>
      </c>
      <c r="G50" s="311">
        <f t="shared" si="2"/>
        <v>2.1384618337892038E-3</v>
      </c>
      <c r="H50" s="311">
        <f t="shared" si="2"/>
        <v>0</v>
      </c>
      <c r="I50" s="311">
        <f t="shared" si="2"/>
        <v>0</v>
      </c>
      <c r="J50" s="311">
        <f t="shared" si="2"/>
        <v>0</v>
      </c>
      <c r="K50" s="311">
        <f t="shared" si="2"/>
        <v>0</v>
      </c>
      <c r="L50" s="311">
        <f t="shared" si="2"/>
        <v>0</v>
      </c>
      <c r="M50" s="311">
        <f t="shared" si="2"/>
        <v>1.2310704790765946E-4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1.1285544607815684E-5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2.1384618337892038E-3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1.2310704790765946E-4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3.1348735021710232</v>
      </c>
      <c r="C54" s="21">
        <f t="shared" ref="C54:P54" si="3">(C50)*10^9/3600</f>
        <v>0</v>
      </c>
      <c r="D54" s="21">
        <f t="shared" si="3"/>
        <v>0</v>
      </c>
      <c r="E54" s="21">
        <f t="shared" si="3"/>
        <v>0</v>
      </c>
      <c r="F54" s="21">
        <f t="shared" si="3"/>
        <v>0</v>
      </c>
      <c r="G54" s="21">
        <f t="shared" si="3"/>
        <v>594.01717605255658</v>
      </c>
      <c r="H54" s="21">
        <f t="shared" si="3"/>
        <v>0</v>
      </c>
      <c r="I54" s="21">
        <f t="shared" si="3"/>
        <v>0</v>
      </c>
      <c r="J54" s="21">
        <f t="shared" si="3"/>
        <v>0</v>
      </c>
      <c r="K54" s="21">
        <f t="shared" si="3"/>
        <v>0</v>
      </c>
      <c r="L54" s="21">
        <f t="shared" si="3"/>
        <v>0</v>
      </c>
      <c r="M54" s="21">
        <f t="shared" si="3"/>
        <v>34.196402196572073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1.3643917270953444E-3</v>
      </c>
      <c r="C56" s="56">
        <f ca="1">'EF ele_warmte'!B22</f>
        <v>1.5151921047132767E-3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4.2771954718525528E-3</v>
      </c>
      <c r="C58" s="23">
        <f t="shared" ref="C58:P58" ca="1" si="4">C54*C56</f>
        <v>0</v>
      </c>
      <c r="D58" s="23">
        <f t="shared" si="4"/>
        <v>0</v>
      </c>
      <c r="E58" s="23">
        <f t="shared" si="4"/>
        <v>0</v>
      </c>
      <c r="F58" s="23">
        <f t="shared" si="4"/>
        <v>0</v>
      </c>
      <c r="G58" s="23">
        <f t="shared" si="4"/>
        <v>158.60258600603262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5460.5784456520123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49405.5</v>
      </c>
      <c r="C8" s="535">
        <f>B50</f>
        <v>370.58823529411779</v>
      </c>
      <c r="D8" s="974"/>
      <c r="E8" s="974">
        <f>E50</f>
        <v>0</v>
      </c>
      <c r="F8" s="975"/>
      <c r="G8" s="536"/>
      <c r="H8" s="974">
        <f>I50</f>
        <v>0</v>
      </c>
      <c r="I8" s="974">
        <f>G50+F50</f>
        <v>0</v>
      </c>
      <c r="J8" s="974">
        <f>H50+D50+C50</f>
        <v>57753.529411764706</v>
      </c>
      <c r="K8" s="974"/>
      <c r="L8" s="974"/>
      <c r="M8" s="974"/>
      <c r="N8" s="537"/>
      <c r="O8" s="538">
        <f>C8*$C$12+D8*$D$12+E8*$E$12+F8*$F$12+G8*$G$12+H8*$H$12+I8*$I$12+J8*$J$12</f>
        <v>74.858823529411794</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54866.078445652012</v>
      </c>
      <c r="C10" s="548">
        <f t="shared" ref="C10:L10" si="0">SUM(C8:C9)</f>
        <v>370.58823529411779</v>
      </c>
      <c r="D10" s="548">
        <f t="shared" si="0"/>
        <v>0</v>
      </c>
      <c r="E10" s="548">
        <f t="shared" si="0"/>
        <v>0</v>
      </c>
      <c r="F10" s="548">
        <f t="shared" si="0"/>
        <v>0</v>
      </c>
      <c r="G10" s="548">
        <f t="shared" si="0"/>
        <v>0</v>
      </c>
      <c r="H10" s="548">
        <f t="shared" si="0"/>
        <v>0</v>
      </c>
      <c r="I10" s="548">
        <f t="shared" si="0"/>
        <v>0</v>
      </c>
      <c r="J10" s="548">
        <f t="shared" si="0"/>
        <v>57753.529411764706</v>
      </c>
      <c r="K10" s="548">
        <f t="shared" si="0"/>
        <v>0</v>
      </c>
      <c r="L10" s="548">
        <f t="shared" si="0"/>
        <v>0</v>
      </c>
      <c r="M10" s="977"/>
      <c r="N10" s="977"/>
      <c r="O10" s="549">
        <f>SUM(O4:O9)</f>
        <v>74.858823529411794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70579.28571428571</v>
      </c>
      <c r="C17" s="560">
        <f>B51</f>
        <v>529.41176470588255</v>
      </c>
      <c r="D17" s="561"/>
      <c r="E17" s="561">
        <f>E51</f>
        <v>0</v>
      </c>
      <c r="F17" s="980"/>
      <c r="G17" s="562"/>
      <c r="H17" s="560">
        <f>I51</f>
        <v>0</v>
      </c>
      <c r="I17" s="561">
        <f>G51+F51</f>
        <v>0</v>
      </c>
      <c r="J17" s="561">
        <f>H51+D51+C51</f>
        <v>82505.042016806721</v>
      </c>
      <c r="K17" s="561"/>
      <c r="L17" s="561"/>
      <c r="M17" s="561"/>
      <c r="N17" s="981"/>
      <c r="O17" s="563">
        <f>C17*$C$22+E17*$E$22+H17*$H$22+I17*$I$22+J17*$J$22+D17*$D$22+F17*$F$22+G17*$G$22+K17*$K$22+L17*$L$22</f>
        <v>106.94117647058827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70579.28571428571</v>
      </c>
      <c r="C20" s="547">
        <f>SUM(C17:C19)</f>
        <v>529.41176470588255</v>
      </c>
      <c r="D20" s="547">
        <f t="shared" ref="D20:L20" si="1">SUM(D17:D19)</f>
        <v>0</v>
      </c>
      <c r="E20" s="547">
        <f t="shared" si="1"/>
        <v>0</v>
      </c>
      <c r="F20" s="547">
        <f t="shared" si="1"/>
        <v>0</v>
      </c>
      <c r="G20" s="547">
        <f t="shared" si="1"/>
        <v>0</v>
      </c>
      <c r="H20" s="547">
        <f t="shared" si="1"/>
        <v>0</v>
      </c>
      <c r="I20" s="547">
        <f t="shared" si="1"/>
        <v>0</v>
      </c>
      <c r="J20" s="547">
        <f t="shared" si="1"/>
        <v>82505.042016806721</v>
      </c>
      <c r="K20" s="547">
        <f t="shared" si="1"/>
        <v>0</v>
      </c>
      <c r="L20" s="547">
        <f t="shared" si="1"/>
        <v>0</v>
      </c>
      <c r="M20" s="547"/>
      <c r="N20" s="547"/>
      <c r="O20" s="566">
        <f>SUM(O17:O19)</f>
        <v>106.94117647058827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37011</v>
      </c>
      <c r="C28" s="725">
        <v>8740</v>
      </c>
      <c r="D28" s="618"/>
      <c r="E28" s="617"/>
      <c r="F28" s="617"/>
      <c r="G28" s="617" t="s">
        <v>904</v>
      </c>
      <c r="H28" s="617" t="s">
        <v>905</v>
      </c>
      <c r="I28" s="617"/>
      <c r="J28" s="724"/>
      <c r="K28" s="724"/>
      <c r="L28" s="617" t="s">
        <v>906</v>
      </c>
      <c r="M28" s="617">
        <v>1975</v>
      </c>
      <c r="N28" s="617">
        <v>8887.5</v>
      </c>
      <c r="O28" s="617">
        <v>12696.428571428572</v>
      </c>
      <c r="P28" s="617">
        <v>0</v>
      </c>
      <c r="Q28" s="617">
        <v>25392.857142857145</v>
      </c>
      <c r="R28" s="617">
        <v>0</v>
      </c>
      <c r="S28" s="617">
        <v>0</v>
      </c>
      <c r="T28" s="617">
        <v>0</v>
      </c>
      <c r="U28" s="617">
        <v>0</v>
      </c>
      <c r="V28" s="617">
        <v>0</v>
      </c>
      <c r="W28" s="617">
        <v>0</v>
      </c>
      <c r="X28" s="617"/>
      <c r="Y28" s="617">
        <v>10</v>
      </c>
      <c r="Z28" s="617" t="s">
        <v>105</v>
      </c>
      <c r="AA28" s="619" t="s">
        <v>105</v>
      </c>
    </row>
    <row r="29" spans="1:27" s="571" customFormat="1" ht="25.5" hidden="1">
      <c r="A29" s="570"/>
      <c r="B29" s="725">
        <v>37011</v>
      </c>
      <c r="C29" s="725">
        <v>8740</v>
      </c>
      <c r="D29" s="618"/>
      <c r="E29" s="617"/>
      <c r="F29" s="617"/>
      <c r="G29" s="617" t="s">
        <v>904</v>
      </c>
      <c r="H29" s="617" t="s">
        <v>905</v>
      </c>
      <c r="I29" s="617"/>
      <c r="J29" s="724"/>
      <c r="K29" s="724"/>
      <c r="L29" s="617" t="s">
        <v>906</v>
      </c>
      <c r="M29" s="617">
        <v>8934</v>
      </c>
      <c r="N29" s="617">
        <v>40203</v>
      </c>
      <c r="O29" s="617">
        <v>57432.857142857145</v>
      </c>
      <c r="P29" s="617">
        <v>0</v>
      </c>
      <c r="Q29" s="617">
        <v>114865.71428571429</v>
      </c>
      <c r="R29" s="617">
        <v>0</v>
      </c>
      <c r="S29" s="617">
        <v>0</v>
      </c>
      <c r="T29" s="617">
        <v>0</v>
      </c>
      <c r="U29" s="617">
        <v>0</v>
      </c>
      <c r="V29" s="617">
        <v>0</v>
      </c>
      <c r="W29" s="617">
        <v>0</v>
      </c>
      <c r="X29" s="617"/>
      <c r="Y29" s="617">
        <v>10</v>
      </c>
      <c r="Z29" s="617" t="s">
        <v>105</v>
      </c>
      <c r="AA29" s="619" t="s">
        <v>105</v>
      </c>
    </row>
    <row r="30" spans="1:27" s="571" customFormat="1" ht="25.5" hidden="1">
      <c r="A30" s="570"/>
      <c r="B30" s="725">
        <v>37011</v>
      </c>
      <c r="C30" s="725">
        <v>8740</v>
      </c>
      <c r="D30" s="618"/>
      <c r="E30" s="617"/>
      <c r="F30" s="617"/>
      <c r="G30" s="617" t="s">
        <v>904</v>
      </c>
      <c r="H30" s="617" t="s">
        <v>905</v>
      </c>
      <c r="I30" s="617"/>
      <c r="J30" s="724"/>
      <c r="K30" s="724"/>
      <c r="L30" s="617" t="s">
        <v>906</v>
      </c>
      <c r="M30" s="617">
        <v>70</v>
      </c>
      <c r="N30" s="617">
        <v>315.00000000000006</v>
      </c>
      <c r="O30" s="617">
        <v>450.00000000000011</v>
      </c>
      <c r="P30" s="617">
        <v>900.00000000000023</v>
      </c>
      <c r="Q30" s="617">
        <v>0</v>
      </c>
      <c r="R30" s="617">
        <v>0</v>
      </c>
      <c r="S30" s="617">
        <v>0</v>
      </c>
      <c r="T30" s="617">
        <v>0</v>
      </c>
      <c r="U30" s="617">
        <v>0</v>
      </c>
      <c r="V30" s="617">
        <v>0</v>
      </c>
      <c r="W30" s="617">
        <v>0</v>
      </c>
      <c r="X30" s="617"/>
      <c r="Y30" s="617">
        <v>10</v>
      </c>
      <c r="Z30" s="617" t="s">
        <v>105</v>
      </c>
      <c r="AA30" s="619" t="s">
        <v>105</v>
      </c>
    </row>
    <row r="31" spans="1:27" s="555" customFormat="1" hidden="1">
      <c r="A31" s="573" t="s">
        <v>269</v>
      </c>
      <c r="B31" s="574"/>
      <c r="C31" s="574"/>
      <c r="D31" s="574"/>
      <c r="E31" s="574"/>
      <c r="F31" s="574"/>
      <c r="G31" s="574"/>
      <c r="H31" s="574"/>
      <c r="I31" s="574"/>
      <c r="J31" s="574"/>
      <c r="K31" s="574"/>
      <c r="L31" s="575"/>
      <c r="M31" s="575">
        <f>SUM(M28:M30)</f>
        <v>10979</v>
      </c>
      <c r="N31" s="575">
        <f>SUM(N28:N30)</f>
        <v>49405.5</v>
      </c>
      <c r="O31" s="575">
        <f>SUM(O28:O30)</f>
        <v>70579.28571428571</v>
      </c>
      <c r="P31" s="575">
        <f>SUM(P28:P30)</f>
        <v>900.00000000000023</v>
      </c>
      <c r="Q31" s="575">
        <f>SUM(Q28:Q30)</f>
        <v>140258.57142857142</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0</v>
      </c>
      <c r="N33" s="575">
        <f ca="1">SUMIF($AA$28:AE30,"tertiair",N28:N30)</f>
        <v>0</v>
      </c>
      <c r="O33" s="575">
        <f ca="1">SUMIF($AA$28:AF30,"tertiair",O28:O30)</f>
        <v>0</v>
      </c>
      <c r="P33" s="575">
        <f ca="1">SUMIF($AA$28:AG30,"tertiair",P28:P30)</f>
        <v>0</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10979</v>
      </c>
      <c r="N34" s="580">
        <f>SUMIF($AA$28:$AA$30,"landbouw",N28:N30)</f>
        <v>49405.5</v>
      </c>
      <c r="O34" s="580">
        <f>SUMIF($AA$28:$AA$30,"landbouw",O28:O30)</f>
        <v>70579.28571428571</v>
      </c>
      <c r="P34" s="580">
        <f>SUMIF($AA$28:$AA$30,"landbouw",P28:P30)</f>
        <v>900.00000000000023</v>
      </c>
      <c r="Q34" s="580">
        <f>SUMIF($AA$28:$AA$30,"landbouw",Q28:Q30)</f>
        <v>140258.57142857142</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0.41176470588235298</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370.58823529411779</v>
      </c>
      <c r="C50" s="609">
        <f t="shared" si="2"/>
        <v>57753.529411764706</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529.41176470588255</v>
      </c>
      <c r="C51" s="612">
        <f t="shared" si="3"/>
        <v>82505.042016806721</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13026.766129999998</v>
      </c>
      <c r="D10" s="943">
        <f ca="1">tertiair!C16</f>
        <v>0</v>
      </c>
      <c r="E10" s="943">
        <f ca="1">tertiair!D16</f>
        <v>12110.051103899124</v>
      </c>
      <c r="F10" s="943">
        <f>tertiair!E16</f>
        <v>232.3882176531277</v>
      </c>
      <c r="G10" s="943">
        <f ca="1">tertiair!F16</f>
        <v>2909.9560417670891</v>
      </c>
      <c r="H10" s="943">
        <f>tertiair!G16</f>
        <v>0</v>
      </c>
      <c r="I10" s="943">
        <f>tertiair!H16</f>
        <v>0</v>
      </c>
      <c r="J10" s="943">
        <f>tertiair!I16</f>
        <v>0</v>
      </c>
      <c r="K10" s="943">
        <f>tertiair!J16</f>
        <v>0</v>
      </c>
      <c r="L10" s="943">
        <f>tertiair!K16</f>
        <v>0</v>
      </c>
      <c r="M10" s="943">
        <f ca="1">tertiair!L16</f>
        <v>0</v>
      </c>
      <c r="N10" s="943">
        <f>tertiair!M16</f>
        <v>0</v>
      </c>
      <c r="O10" s="943">
        <f ca="1">tertiair!N16</f>
        <v>955.73815158582966</v>
      </c>
      <c r="P10" s="943">
        <f>tertiair!O16</f>
        <v>0</v>
      </c>
      <c r="Q10" s="944">
        <f>tertiair!P16</f>
        <v>0</v>
      </c>
      <c r="R10" s="629">
        <f ca="1">SUM(C10:Q10)</f>
        <v>29234.899644905163</v>
      </c>
      <c r="S10" s="67"/>
    </row>
    <row r="11" spans="1:19" s="438" customFormat="1">
      <c r="A11" s="737" t="s">
        <v>214</v>
      </c>
      <c r="B11" s="742"/>
      <c r="C11" s="943">
        <f>huishoudens!B8</f>
        <v>12417.021967532939</v>
      </c>
      <c r="D11" s="943">
        <f>huishoudens!C8</f>
        <v>0</v>
      </c>
      <c r="E11" s="943">
        <f>huishoudens!D8</f>
        <v>20644.284787863155</v>
      </c>
      <c r="F11" s="943">
        <f>huishoudens!E8</f>
        <v>612.32537631530124</v>
      </c>
      <c r="G11" s="943">
        <f>huishoudens!F8</f>
        <v>19316.955286802327</v>
      </c>
      <c r="H11" s="943">
        <f>huishoudens!G8</f>
        <v>0</v>
      </c>
      <c r="I11" s="943">
        <f>huishoudens!H8</f>
        <v>0</v>
      </c>
      <c r="J11" s="943">
        <f>huishoudens!I8</f>
        <v>0</v>
      </c>
      <c r="K11" s="943">
        <f>huishoudens!J8</f>
        <v>450.47066756295771</v>
      </c>
      <c r="L11" s="943">
        <f>huishoudens!K8</f>
        <v>0</v>
      </c>
      <c r="M11" s="943">
        <f>huishoudens!L8</f>
        <v>0</v>
      </c>
      <c r="N11" s="943">
        <f>huishoudens!M8</f>
        <v>0</v>
      </c>
      <c r="O11" s="943">
        <f>huishoudens!N8</f>
        <v>3128.339022965296</v>
      </c>
      <c r="P11" s="943">
        <f>huishoudens!O8</f>
        <v>67.223333333333329</v>
      </c>
      <c r="Q11" s="944">
        <f>huishoudens!P8</f>
        <v>286</v>
      </c>
      <c r="R11" s="629">
        <f>SUM(C11:Q11)</f>
        <v>56922.620442375308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9133.1172999999999</v>
      </c>
      <c r="D13" s="943">
        <f>industrie!C18</f>
        <v>0</v>
      </c>
      <c r="E13" s="943">
        <f>industrie!D18</f>
        <v>2492.7759502176377</v>
      </c>
      <c r="F13" s="943">
        <f>industrie!E18</f>
        <v>720.83202647462076</v>
      </c>
      <c r="G13" s="943">
        <f>industrie!F18</f>
        <v>3260.154826471568</v>
      </c>
      <c r="H13" s="943">
        <f>industrie!G18</f>
        <v>0</v>
      </c>
      <c r="I13" s="943">
        <f>industrie!H18</f>
        <v>0</v>
      </c>
      <c r="J13" s="943">
        <f>industrie!I18</f>
        <v>0</v>
      </c>
      <c r="K13" s="943">
        <f>industrie!J18</f>
        <v>35.27656100322374</v>
      </c>
      <c r="L13" s="943">
        <f>industrie!K18</f>
        <v>0</v>
      </c>
      <c r="M13" s="943">
        <f>industrie!L18</f>
        <v>0</v>
      </c>
      <c r="N13" s="943">
        <f>industrie!M18</f>
        <v>0</v>
      </c>
      <c r="O13" s="943">
        <f>industrie!N18</f>
        <v>630.09864657289233</v>
      </c>
      <c r="P13" s="943">
        <f>industrie!O18</f>
        <v>0</v>
      </c>
      <c r="Q13" s="944">
        <f>industrie!P18</f>
        <v>0</v>
      </c>
      <c r="R13" s="629">
        <f>SUM(C13:Q13)</f>
        <v>16272.255310739942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34576.905397532937</v>
      </c>
      <c r="D16" s="661">
        <f t="shared" ref="D16:R16" ca="1" si="0">SUM(D9:D15)</f>
        <v>0</v>
      </c>
      <c r="E16" s="661">
        <f t="shared" ca="1" si="0"/>
        <v>35247.111841979917</v>
      </c>
      <c r="F16" s="661">
        <f t="shared" si="0"/>
        <v>1565.5456204430498</v>
      </c>
      <c r="G16" s="661">
        <f t="shared" ca="1" si="0"/>
        <v>25487.066155040986</v>
      </c>
      <c r="H16" s="661">
        <f t="shared" si="0"/>
        <v>0</v>
      </c>
      <c r="I16" s="661">
        <f t="shared" si="0"/>
        <v>0</v>
      </c>
      <c r="J16" s="661">
        <f t="shared" si="0"/>
        <v>0</v>
      </c>
      <c r="K16" s="661">
        <f t="shared" si="0"/>
        <v>485.74722856618143</v>
      </c>
      <c r="L16" s="661">
        <f t="shared" si="0"/>
        <v>0</v>
      </c>
      <c r="M16" s="661">
        <f t="shared" ca="1" si="0"/>
        <v>0</v>
      </c>
      <c r="N16" s="661">
        <f t="shared" si="0"/>
        <v>0</v>
      </c>
      <c r="O16" s="661">
        <f t="shared" ca="1" si="0"/>
        <v>4714.1758211240176</v>
      </c>
      <c r="P16" s="661">
        <f t="shared" si="0"/>
        <v>67.223333333333329</v>
      </c>
      <c r="Q16" s="661">
        <f t="shared" si="0"/>
        <v>286</v>
      </c>
      <c r="R16" s="661">
        <f t="shared" ca="1" si="0"/>
        <v>102429.77539802041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3.1348735021710232</v>
      </c>
      <c r="D19" s="943">
        <f>transport!C54</f>
        <v>0</v>
      </c>
      <c r="E19" s="943">
        <f>transport!D54</f>
        <v>0</v>
      </c>
      <c r="F19" s="943">
        <f>transport!E54</f>
        <v>0</v>
      </c>
      <c r="G19" s="943">
        <f>transport!F54</f>
        <v>0</v>
      </c>
      <c r="H19" s="943">
        <f>transport!G54</f>
        <v>594.01717605255658</v>
      </c>
      <c r="I19" s="943">
        <f>transport!H54</f>
        <v>0</v>
      </c>
      <c r="J19" s="943">
        <f>transport!I54</f>
        <v>0</v>
      </c>
      <c r="K19" s="943">
        <f>transport!J54</f>
        <v>0</v>
      </c>
      <c r="L19" s="943">
        <f>transport!K54</f>
        <v>0</v>
      </c>
      <c r="M19" s="943">
        <f>transport!L54</f>
        <v>0</v>
      </c>
      <c r="N19" s="943">
        <f>transport!M54</f>
        <v>34.196402196572073</v>
      </c>
      <c r="O19" s="943">
        <f>transport!N54</f>
        <v>0</v>
      </c>
      <c r="P19" s="943">
        <f>transport!O54</f>
        <v>0</v>
      </c>
      <c r="Q19" s="944">
        <f>transport!P54</f>
        <v>0</v>
      </c>
      <c r="R19" s="629">
        <f>SUM(C19:Q19)</f>
        <v>631.34845175129965</v>
      </c>
      <c r="S19" s="67"/>
    </row>
    <row r="20" spans="1:19" s="438" customFormat="1">
      <c r="A20" s="737" t="s">
        <v>296</v>
      </c>
      <c r="B20" s="742"/>
      <c r="C20" s="943">
        <f>transport!B14</f>
        <v>8.9148863509324396</v>
      </c>
      <c r="D20" s="943">
        <f>transport!C14</f>
        <v>0</v>
      </c>
      <c r="E20" s="943">
        <f>transport!D14</f>
        <v>13.809381031273309</v>
      </c>
      <c r="F20" s="943">
        <f>transport!E14</f>
        <v>133.39328384212646</v>
      </c>
      <c r="G20" s="943">
        <f>transport!F14</f>
        <v>0</v>
      </c>
      <c r="H20" s="943">
        <f>transport!G14</f>
        <v>49851.95228984471</v>
      </c>
      <c r="I20" s="943">
        <f>transport!H14</f>
        <v>8461.4170650311189</v>
      </c>
      <c r="J20" s="943">
        <f>transport!I14</f>
        <v>0</v>
      </c>
      <c r="K20" s="943">
        <f>transport!J14</f>
        <v>0</v>
      </c>
      <c r="L20" s="943">
        <f>transport!K14</f>
        <v>0</v>
      </c>
      <c r="M20" s="943">
        <f>transport!L14</f>
        <v>0</v>
      </c>
      <c r="N20" s="943">
        <f>transport!M14</f>
        <v>3148.3716358477259</v>
      </c>
      <c r="O20" s="943">
        <f>transport!N14</f>
        <v>0</v>
      </c>
      <c r="P20" s="943">
        <f>transport!O14</f>
        <v>0</v>
      </c>
      <c r="Q20" s="944">
        <f>transport!P14</f>
        <v>0</v>
      </c>
      <c r="R20" s="629">
        <f>SUM(C20:Q20)</f>
        <v>61617.858541947891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12.049759853103463</v>
      </c>
      <c r="D22" s="740">
        <f t="shared" ref="D22:R22" si="1">SUM(D18:D21)</f>
        <v>0</v>
      </c>
      <c r="E22" s="740">
        <f t="shared" si="1"/>
        <v>13.809381031273309</v>
      </c>
      <c r="F22" s="740">
        <f t="shared" si="1"/>
        <v>133.39328384212646</v>
      </c>
      <c r="G22" s="740">
        <f t="shared" si="1"/>
        <v>0</v>
      </c>
      <c r="H22" s="740">
        <f t="shared" si="1"/>
        <v>50445.969465897266</v>
      </c>
      <c r="I22" s="740">
        <f t="shared" si="1"/>
        <v>8461.4170650311189</v>
      </c>
      <c r="J22" s="740">
        <f t="shared" si="1"/>
        <v>0</v>
      </c>
      <c r="K22" s="740">
        <f t="shared" si="1"/>
        <v>0</v>
      </c>
      <c r="L22" s="740">
        <f t="shared" si="1"/>
        <v>0</v>
      </c>
      <c r="M22" s="740">
        <f t="shared" si="1"/>
        <v>0</v>
      </c>
      <c r="N22" s="740">
        <f t="shared" si="1"/>
        <v>3182.5680380442977</v>
      </c>
      <c r="O22" s="740">
        <f t="shared" si="1"/>
        <v>0</v>
      </c>
      <c r="P22" s="740">
        <f t="shared" si="1"/>
        <v>0</v>
      </c>
      <c r="Q22" s="740">
        <f t="shared" si="1"/>
        <v>0</v>
      </c>
      <c r="R22" s="740">
        <f t="shared" si="1"/>
        <v>62249.20699369919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8336.2264199999991</v>
      </c>
      <c r="D24" s="943">
        <f>+landbouw!C8</f>
        <v>70579.28571428571</v>
      </c>
      <c r="E24" s="943">
        <f>+landbouw!D8</f>
        <v>1863.1595023605321</v>
      </c>
      <c r="F24" s="943">
        <f>+landbouw!E8</f>
        <v>178.75819964962378</v>
      </c>
      <c r="G24" s="943">
        <f>+landbouw!F8</f>
        <v>27040.047296728375</v>
      </c>
      <c r="H24" s="943">
        <f>+landbouw!G8</f>
        <v>0</v>
      </c>
      <c r="I24" s="943">
        <f>+landbouw!H8</f>
        <v>0</v>
      </c>
      <c r="J24" s="943">
        <f>+landbouw!I8</f>
        <v>0</v>
      </c>
      <c r="K24" s="943">
        <f>+landbouw!J8</f>
        <v>803.19982109929526</v>
      </c>
      <c r="L24" s="943">
        <f>+landbouw!K8</f>
        <v>0</v>
      </c>
      <c r="M24" s="943">
        <f>+landbouw!L8</f>
        <v>0</v>
      </c>
      <c r="N24" s="943">
        <f>+landbouw!M8</f>
        <v>0</v>
      </c>
      <c r="O24" s="943">
        <f>+landbouw!N8</f>
        <v>0</v>
      </c>
      <c r="P24" s="943">
        <f>+landbouw!O8</f>
        <v>0</v>
      </c>
      <c r="Q24" s="944">
        <f>+landbouw!P8</f>
        <v>0</v>
      </c>
      <c r="R24" s="629">
        <f>SUM(C24:Q24)</f>
        <v>108800.67695412353</v>
      </c>
      <c r="S24" s="67"/>
    </row>
    <row r="25" spans="1:19" s="438" customFormat="1" ht="15" thickBot="1">
      <c r="A25" s="759" t="s">
        <v>802</v>
      </c>
      <c r="B25" s="946"/>
      <c r="C25" s="947">
        <f>IF(Onbekend_ele_kWh="---",0,Onbekend_ele_kWh)/1000+IF(REST_rest_ele_kWh="---",0,REST_rest_ele_kWh)/1000</f>
        <v>808.84900000000005</v>
      </c>
      <c r="D25" s="947"/>
      <c r="E25" s="947">
        <f>IF(onbekend_gas_kWh="---",0,onbekend_gas_kWh)/1000+IF(REST_rest_gas_kWh="---",0,REST_rest_gas_kWh)/1000</f>
        <v>578.82899632836404</v>
      </c>
      <c r="F25" s="947"/>
      <c r="G25" s="947"/>
      <c r="H25" s="947"/>
      <c r="I25" s="947"/>
      <c r="J25" s="947"/>
      <c r="K25" s="947"/>
      <c r="L25" s="947"/>
      <c r="M25" s="947"/>
      <c r="N25" s="947"/>
      <c r="O25" s="947"/>
      <c r="P25" s="947"/>
      <c r="Q25" s="948"/>
      <c r="R25" s="629">
        <f>SUM(C25:Q25)</f>
        <v>1387.6779963283641</v>
      </c>
      <c r="S25" s="67"/>
    </row>
    <row r="26" spans="1:19" s="438" customFormat="1" ht="15.75" thickBot="1">
      <c r="A26" s="634" t="s">
        <v>803</v>
      </c>
      <c r="B26" s="745"/>
      <c r="C26" s="740">
        <f>SUM(C24:C25)</f>
        <v>9145.0754199999992</v>
      </c>
      <c r="D26" s="740">
        <f t="shared" ref="D26:R26" si="2">SUM(D24:D25)</f>
        <v>70579.28571428571</v>
      </c>
      <c r="E26" s="740">
        <f t="shared" si="2"/>
        <v>2441.988498688896</v>
      </c>
      <c r="F26" s="740">
        <f t="shared" si="2"/>
        <v>178.75819964962378</v>
      </c>
      <c r="G26" s="740">
        <f t="shared" si="2"/>
        <v>27040.047296728375</v>
      </c>
      <c r="H26" s="740">
        <f t="shared" si="2"/>
        <v>0</v>
      </c>
      <c r="I26" s="740">
        <f t="shared" si="2"/>
        <v>0</v>
      </c>
      <c r="J26" s="740">
        <f t="shared" si="2"/>
        <v>0</v>
      </c>
      <c r="K26" s="740">
        <f t="shared" si="2"/>
        <v>803.19982109929526</v>
      </c>
      <c r="L26" s="740">
        <f t="shared" si="2"/>
        <v>0</v>
      </c>
      <c r="M26" s="740">
        <f t="shared" si="2"/>
        <v>0</v>
      </c>
      <c r="N26" s="740">
        <f t="shared" si="2"/>
        <v>0</v>
      </c>
      <c r="O26" s="740">
        <f t="shared" si="2"/>
        <v>0</v>
      </c>
      <c r="P26" s="740">
        <f t="shared" si="2"/>
        <v>0</v>
      </c>
      <c r="Q26" s="740">
        <f t="shared" si="2"/>
        <v>0</v>
      </c>
      <c r="R26" s="740">
        <f t="shared" si="2"/>
        <v>110188.35495045189</v>
      </c>
      <c r="S26" s="67"/>
    </row>
    <row r="27" spans="1:19" s="438" customFormat="1" ht="17.25" thickTop="1" thickBot="1">
      <c r="A27" s="635" t="s">
        <v>109</v>
      </c>
      <c r="B27" s="733"/>
      <c r="C27" s="636">
        <f ca="1">C22+C16+C26</f>
        <v>43734.030577386038</v>
      </c>
      <c r="D27" s="636">
        <f t="shared" ref="D27:R27" ca="1" si="3">D22+D16+D26</f>
        <v>70579.28571428571</v>
      </c>
      <c r="E27" s="636">
        <f t="shared" ca="1" si="3"/>
        <v>37702.909721700082</v>
      </c>
      <c r="F27" s="636">
        <f t="shared" si="3"/>
        <v>1877.6971039348</v>
      </c>
      <c r="G27" s="636">
        <f t="shared" ca="1" si="3"/>
        <v>52527.113451769357</v>
      </c>
      <c r="H27" s="636">
        <f t="shared" si="3"/>
        <v>50445.969465897266</v>
      </c>
      <c r="I27" s="636">
        <f t="shared" si="3"/>
        <v>8461.4170650311189</v>
      </c>
      <c r="J27" s="636">
        <f t="shared" si="3"/>
        <v>0</v>
      </c>
      <c r="K27" s="636">
        <f t="shared" si="3"/>
        <v>1288.9470496654767</v>
      </c>
      <c r="L27" s="636">
        <f t="shared" si="3"/>
        <v>0</v>
      </c>
      <c r="M27" s="636">
        <f t="shared" ca="1" si="3"/>
        <v>0</v>
      </c>
      <c r="N27" s="636">
        <f t="shared" si="3"/>
        <v>3182.5680380442977</v>
      </c>
      <c r="O27" s="636">
        <f t="shared" ca="1" si="3"/>
        <v>4714.1758211240176</v>
      </c>
      <c r="P27" s="636">
        <f t="shared" si="3"/>
        <v>67.223333333333329</v>
      </c>
      <c r="Q27" s="636">
        <f t="shared" si="3"/>
        <v>286</v>
      </c>
      <c r="R27" s="636">
        <f t="shared" ca="1" si="3"/>
        <v>274867.33734217146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17.773611938577833</v>
      </c>
      <c r="D40" s="943">
        <f ca="1">tertiair!C20</f>
        <v>0</v>
      </c>
      <c r="E40" s="943">
        <f ca="1">tertiair!D20</f>
        <v>2446.2303229876234</v>
      </c>
      <c r="F40" s="943">
        <f>tertiair!E20</f>
        <v>52.752125407259989</v>
      </c>
      <c r="G40" s="943">
        <f ca="1">tertiair!F20</f>
        <v>776.95826315181284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3293.7143234852738</v>
      </c>
    </row>
    <row r="41" spans="1:18">
      <c r="A41" s="750" t="s">
        <v>214</v>
      </c>
      <c r="B41" s="757"/>
      <c r="C41" s="943">
        <f ca="1">huishoudens!B12</f>
        <v>16.941682047663097</v>
      </c>
      <c r="D41" s="943">
        <f ca="1">huishoudens!C12</f>
        <v>0</v>
      </c>
      <c r="E41" s="943">
        <f>huishoudens!D12</f>
        <v>4170.1455271483574</v>
      </c>
      <c r="F41" s="943">
        <f>huishoudens!E12</f>
        <v>138.9978604235734</v>
      </c>
      <c r="G41" s="943">
        <f>huishoudens!F12</f>
        <v>5157.6270615762214</v>
      </c>
      <c r="H41" s="943">
        <f>huishoudens!G12</f>
        <v>0</v>
      </c>
      <c r="I41" s="943">
        <f>huishoudens!H12</f>
        <v>0</v>
      </c>
      <c r="J41" s="943">
        <f>huishoudens!I12</f>
        <v>0</v>
      </c>
      <c r="K41" s="943">
        <f>huishoudens!J12</f>
        <v>159.46661631728702</v>
      </c>
      <c r="L41" s="943">
        <f>huishoudens!K12</f>
        <v>0</v>
      </c>
      <c r="M41" s="943">
        <f>huishoudens!L12</f>
        <v>0</v>
      </c>
      <c r="N41" s="943">
        <f>huishoudens!M12</f>
        <v>0</v>
      </c>
      <c r="O41" s="943">
        <f>huishoudens!N12</f>
        <v>0</v>
      </c>
      <c r="P41" s="943">
        <f>huishoudens!O12</f>
        <v>0</v>
      </c>
      <c r="Q41" s="703">
        <f>huishoudens!P12</f>
        <v>0</v>
      </c>
      <c r="R41" s="778">
        <f t="shared" ca="1" si="4"/>
        <v>9643.1787475131023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12.461149686711368</v>
      </c>
      <c r="D43" s="943">
        <f ca="1">industrie!C22</f>
        <v>0</v>
      </c>
      <c r="E43" s="943">
        <f>industrie!D22</f>
        <v>503.54074194396287</v>
      </c>
      <c r="F43" s="943">
        <f>industrie!E22</f>
        <v>163.6288700097389</v>
      </c>
      <c r="G43" s="943">
        <f>industrie!F22</f>
        <v>870.46133866790865</v>
      </c>
      <c r="H43" s="943">
        <f>industrie!G22</f>
        <v>0</v>
      </c>
      <c r="I43" s="943">
        <f>industrie!H22</f>
        <v>0</v>
      </c>
      <c r="J43" s="943">
        <f>industrie!I22</f>
        <v>0</v>
      </c>
      <c r="K43" s="943">
        <f>industrie!J22</f>
        <v>12.487902595141204</v>
      </c>
      <c r="L43" s="943">
        <f>industrie!K22</f>
        <v>0</v>
      </c>
      <c r="M43" s="943">
        <f>industrie!L22</f>
        <v>0</v>
      </c>
      <c r="N43" s="943">
        <f>industrie!M22</f>
        <v>0</v>
      </c>
      <c r="O43" s="943">
        <f>industrie!N22</f>
        <v>0</v>
      </c>
      <c r="P43" s="943">
        <f>industrie!O22</f>
        <v>0</v>
      </c>
      <c r="Q43" s="703">
        <f>industrie!P22</f>
        <v>0</v>
      </c>
      <c r="R43" s="777">
        <f t="shared" ca="1" si="4"/>
        <v>1562.5800029034629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47.176443672952296</v>
      </c>
      <c r="D46" s="661">
        <f t="shared" ref="D46:Q46" ca="1" si="5">SUM(D39:D45)</f>
        <v>0</v>
      </c>
      <c r="E46" s="661">
        <f t="shared" ca="1" si="5"/>
        <v>7119.9165920799433</v>
      </c>
      <c r="F46" s="661">
        <f t="shared" si="5"/>
        <v>355.37885584057233</v>
      </c>
      <c r="G46" s="661">
        <f t="shared" ca="1" si="5"/>
        <v>6805.0466633959422</v>
      </c>
      <c r="H46" s="661">
        <f t="shared" si="5"/>
        <v>0</v>
      </c>
      <c r="I46" s="661">
        <f t="shared" si="5"/>
        <v>0</v>
      </c>
      <c r="J46" s="661">
        <f t="shared" si="5"/>
        <v>0</v>
      </c>
      <c r="K46" s="661">
        <f t="shared" si="5"/>
        <v>171.95451891242823</v>
      </c>
      <c r="L46" s="661">
        <f t="shared" si="5"/>
        <v>0</v>
      </c>
      <c r="M46" s="661">
        <f t="shared" ca="1" si="5"/>
        <v>0</v>
      </c>
      <c r="N46" s="661">
        <f t="shared" si="5"/>
        <v>0</v>
      </c>
      <c r="O46" s="661">
        <f t="shared" ca="1" si="5"/>
        <v>0</v>
      </c>
      <c r="P46" s="661">
        <f t="shared" si="5"/>
        <v>0</v>
      </c>
      <c r="Q46" s="661">
        <f t="shared" si="5"/>
        <v>0</v>
      </c>
      <c r="R46" s="661">
        <f ca="1">SUM(R39:R45)</f>
        <v>14499.47307390184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4.2771954718525528E-3</v>
      </c>
      <c r="D49" s="943">
        <f ca="1">transport!C58</f>
        <v>0</v>
      </c>
      <c r="E49" s="943">
        <f>transport!D58</f>
        <v>0</v>
      </c>
      <c r="F49" s="943">
        <f>transport!E58</f>
        <v>0</v>
      </c>
      <c r="G49" s="943">
        <f>transport!F58</f>
        <v>0</v>
      </c>
      <c r="H49" s="943">
        <f>transport!G58</f>
        <v>158.60258600603262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158.60686320150447</v>
      </c>
    </row>
    <row r="50" spans="1:18">
      <c r="A50" s="753" t="s">
        <v>296</v>
      </c>
      <c r="B50" s="763"/>
      <c r="C50" s="632">
        <f ca="1">transport!B18</f>
        <v>1.2163397185207423E-2</v>
      </c>
      <c r="D50" s="632">
        <f>transport!C18</f>
        <v>0</v>
      </c>
      <c r="E50" s="632">
        <f>transport!D18</f>
        <v>2.7894949683172086</v>
      </c>
      <c r="F50" s="632">
        <f>transport!E18</f>
        <v>30.280275432162707</v>
      </c>
      <c r="G50" s="632">
        <f>transport!F18</f>
        <v>0</v>
      </c>
      <c r="H50" s="632">
        <f>transport!G18</f>
        <v>13310.471261388539</v>
      </c>
      <c r="I50" s="632">
        <f>transport!H18</f>
        <v>2106.8928491927486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15450.446044378952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1.6440592657059976E-2</v>
      </c>
      <c r="D52" s="661">
        <f t="shared" ref="D52:Q52" ca="1" si="6">SUM(D48:D51)</f>
        <v>0</v>
      </c>
      <c r="E52" s="661">
        <f t="shared" si="6"/>
        <v>2.7894949683172086</v>
      </c>
      <c r="F52" s="661">
        <f t="shared" si="6"/>
        <v>30.280275432162707</v>
      </c>
      <c r="G52" s="661">
        <f t="shared" si="6"/>
        <v>0</v>
      </c>
      <c r="H52" s="661">
        <f t="shared" si="6"/>
        <v>13469.073847394571</v>
      </c>
      <c r="I52" s="661">
        <f t="shared" si="6"/>
        <v>2106.8928491927486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15609.052907580457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11.373878362641639</v>
      </c>
      <c r="D54" s="632">
        <f ca="1">+landbouw!C12</f>
        <v>106.94117647058827</v>
      </c>
      <c r="E54" s="632">
        <f>+landbouw!D12</f>
        <v>376.35821947682751</v>
      </c>
      <c r="F54" s="632">
        <f>+landbouw!E12</f>
        <v>40.5781113204646</v>
      </c>
      <c r="G54" s="632">
        <f>+landbouw!F12</f>
        <v>7219.6926282264767</v>
      </c>
      <c r="H54" s="632">
        <f>+landbouw!G12</f>
        <v>0</v>
      </c>
      <c r="I54" s="632">
        <f>+landbouw!H12</f>
        <v>0</v>
      </c>
      <c r="J54" s="632">
        <f>+landbouw!I12</f>
        <v>0</v>
      </c>
      <c r="K54" s="632">
        <f>+landbouw!J12</f>
        <v>284.33273666915051</v>
      </c>
      <c r="L54" s="632">
        <f>+landbouw!K12</f>
        <v>0</v>
      </c>
      <c r="M54" s="632">
        <f>+landbouw!L12</f>
        <v>0</v>
      </c>
      <c r="N54" s="632">
        <f>+landbouw!M12</f>
        <v>0</v>
      </c>
      <c r="O54" s="632">
        <f>+landbouw!N12</f>
        <v>0</v>
      </c>
      <c r="P54" s="632">
        <f>+landbouw!O12</f>
        <v>0</v>
      </c>
      <c r="Q54" s="633">
        <f>+landbouw!P12</f>
        <v>0</v>
      </c>
      <c r="R54" s="660">
        <f ca="1">SUM(C54:Q54)</f>
        <v>8039.276750526149</v>
      </c>
    </row>
    <row r="55" spans="1:18" ht="15" thickBot="1">
      <c r="A55" s="753" t="s">
        <v>802</v>
      </c>
      <c r="B55" s="763"/>
      <c r="C55" s="632">
        <f ca="1">C25*'EF ele_warmte'!B12</f>
        <v>1.1035868840693424</v>
      </c>
      <c r="D55" s="632"/>
      <c r="E55" s="632">
        <f>E25*EF_CO2_aardgas</f>
        <v>116.92345725832955</v>
      </c>
      <c r="F55" s="632"/>
      <c r="G55" s="632"/>
      <c r="H55" s="632"/>
      <c r="I55" s="632"/>
      <c r="J55" s="632"/>
      <c r="K55" s="632"/>
      <c r="L55" s="632"/>
      <c r="M55" s="632"/>
      <c r="N55" s="632"/>
      <c r="O55" s="632"/>
      <c r="P55" s="632"/>
      <c r="Q55" s="633"/>
      <c r="R55" s="660">
        <f ca="1">SUM(C55:Q55)</f>
        <v>118.02704414239889</v>
      </c>
    </row>
    <row r="56" spans="1:18" ht="15.75" thickBot="1">
      <c r="A56" s="751" t="s">
        <v>803</v>
      </c>
      <c r="B56" s="764"/>
      <c r="C56" s="661">
        <f ca="1">SUM(C54:C55)</f>
        <v>12.477465246710981</v>
      </c>
      <c r="D56" s="661">
        <f t="shared" ref="D56:Q56" ca="1" si="7">SUM(D54:D55)</f>
        <v>106.94117647058827</v>
      </c>
      <c r="E56" s="661">
        <f t="shared" si="7"/>
        <v>493.28167673515708</v>
      </c>
      <c r="F56" s="661">
        <f t="shared" si="7"/>
        <v>40.5781113204646</v>
      </c>
      <c r="G56" s="661">
        <f t="shared" si="7"/>
        <v>7219.6926282264767</v>
      </c>
      <c r="H56" s="661">
        <f t="shared" si="7"/>
        <v>0</v>
      </c>
      <c r="I56" s="661">
        <f t="shared" si="7"/>
        <v>0</v>
      </c>
      <c r="J56" s="661">
        <f t="shared" si="7"/>
        <v>0</v>
      </c>
      <c r="K56" s="661">
        <f t="shared" si="7"/>
        <v>284.33273666915051</v>
      </c>
      <c r="L56" s="661">
        <f t="shared" si="7"/>
        <v>0</v>
      </c>
      <c r="M56" s="661">
        <f t="shared" si="7"/>
        <v>0</v>
      </c>
      <c r="N56" s="661">
        <f t="shared" si="7"/>
        <v>0</v>
      </c>
      <c r="O56" s="661">
        <f t="shared" si="7"/>
        <v>0</v>
      </c>
      <c r="P56" s="661">
        <f t="shared" si="7"/>
        <v>0</v>
      </c>
      <c r="Q56" s="662">
        <f t="shared" si="7"/>
        <v>0</v>
      </c>
      <c r="R56" s="663">
        <f ca="1">SUM(R54:R55)</f>
        <v>8157.3037946685481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59.670349512320342</v>
      </c>
      <c r="D61" s="669">
        <f t="shared" ref="D61:Q61" ca="1" si="8">D46+D52+D56</f>
        <v>106.94117647058827</v>
      </c>
      <c r="E61" s="669">
        <f t="shared" ca="1" si="8"/>
        <v>7615.987763783417</v>
      </c>
      <c r="F61" s="669">
        <f t="shared" si="8"/>
        <v>426.2372425931996</v>
      </c>
      <c r="G61" s="669">
        <f t="shared" ca="1" si="8"/>
        <v>14024.73929162242</v>
      </c>
      <c r="H61" s="669">
        <f t="shared" si="8"/>
        <v>13469.073847394571</v>
      </c>
      <c r="I61" s="669">
        <f t="shared" si="8"/>
        <v>2106.8928491927486</v>
      </c>
      <c r="J61" s="669">
        <f t="shared" si="8"/>
        <v>0</v>
      </c>
      <c r="K61" s="669">
        <f t="shared" si="8"/>
        <v>456.28725558157873</v>
      </c>
      <c r="L61" s="669">
        <f t="shared" si="8"/>
        <v>0</v>
      </c>
      <c r="M61" s="669">
        <f t="shared" ca="1" si="8"/>
        <v>0</v>
      </c>
      <c r="N61" s="669">
        <f t="shared" si="8"/>
        <v>0</v>
      </c>
      <c r="O61" s="669">
        <f t="shared" ca="1" si="8"/>
        <v>0</v>
      </c>
      <c r="P61" s="669">
        <f t="shared" si="8"/>
        <v>0</v>
      </c>
      <c r="Q61" s="669">
        <f t="shared" si="8"/>
        <v>0</v>
      </c>
      <c r="R61" s="669">
        <f ca="1">R46+R52+R56</f>
        <v>38265.829776150844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1.3643917270953444E-3</v>
      </c>
      <c r="D63" s="710">
        <f t="shared" ca="1" si="9"/>
        <v>1.5151921047132767E-3</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5460.5784456520123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49090.5</v>
      </c>
      <c r="C76" s="679">
        <f>'lokale energieproductie'!B8*IFERROR(SUM(D76:H76)/SUM(D76:O76),0)</f>
        <v>315.00000000000011</v>
      </c>
      <c r="D76" s="964">
        <f>'lokale energieproductie'!C8</f>
        <v>370.58823529411779</v>
      </c>
      <c r="E76" s="965">
        <f>'lokale energieproductie'!D8</f>
        <v>0</v>
      </c>
      <c r="F76" s="965">
        <f>'lokale energieproductie'!E8</f>
        <v>0</v>
      </c>
      <c r="G76" s="965">
        <f>'lokale energieproductie'!F8</f>
        <v>0</v>
      </c>
      <c r="H76" s="965">
        <f>'lokale energieproductie'!G8</f>
        <v>0</v>
      </c>
      <c r="I76" s="965">
        <f>'lokale energieproductie'!I8</f>
        <v>0</v>
      </c>
      <c r="J76" s="965">
        <f>'lokale energieproductie'!J8</f>
        <v>57753.529411764706</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74.858823529411794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54551.078445652012</v>
      </c>
      <c r="C78" s="684">
        <f>SUM(C72:C77)</f>
        <v>315.00000000000011</v>
      </c>
      <c r="D78" s="685">
        <f t="shared" ref="D78:H78" si="10">SUM(D76:D77)</f>
        <v>370.58823529411779</v>
      </c>
      <c r="E78" s="685">
        <f t="shared" si="10"/>
        <v>0</v>
      </c>
      <c r="F78" s="685">
        <f t="shared" si="10"/>
        <v>0</v>
      </c>
      <c r="G78" s="685">
        <f t="shared" si="10"/>
        <v>0</v>
      </c>
      <c r="H78" s="685">
        <f t="shared" si="10"/>
        <v>0</v>
      </c>
      <c r="I78" s="685">
        <f>SUM(I76:I77)</f>
        <v>0</v>
      </c>
      <c r="J78" s="685">
        <f>SUM(J76:J77)</f>
        <v>57753.529411764706</v>
      </c>
      <c r="K78" s="685">
        <f t="shared" ref="K78:L78" si="11">SUM(K76:K77)</f>
        <v>0</v>
      </c>
      <c r="L78" s="685">
        <f t="shared" si="11"/>
        <v>0</v>
      </c>
      <c r="M78" s="685">
        <f>SUM(M76:M77)</f>
        <v>0</v>
      </c>
      <c r="N78" s="685">
        <f>SUM(N76:N77)</f>
        <v>0</v>
      </c>
      <c r="O78" s="788">
        <f>SUM(O76:O77)</f>
        <v>0</v>
      </c>
      <c r="P78" s="686">
        <v>0</v>
      </c>
      <c r="Q78" s="686">
        <f>SUM(Q76:Q77)</f>
        <v>74.858823529411794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70129.28571428571</v>
      </c>
      <c r="C87" s="695">
        <f>'lokale energieproductie'!B17*IFERROR(SUM(D87:H87)/SUM(D87:O87),0)</f>
        <v>450.00000000000011</v>
      </c>
      <c r="D87" s="706">
        <f>'lokale energieproductie'!C17</f>
        <v>529.41176470588255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82505.042016806721</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106.94117647058827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70129.28571428571</v>
      </c>
      <c r="C90" s="684">
        <f>SUM(C87:C89)</f>
        <v>450.00000000000011</v>
      </c>
      <c r="D90" s="684">
        <f t="shared" ref="D90:H90" si="12">SUM(D87:D89)</f>
        <v>529.41176470588255</v>
      </c>
      <c r="E90" s="684">
        <f t="shared" si="12"/>
        <v>0</v>
      </c>
      <c r="F90" s="684">
        <f t="shared" si="12"/>
        <v>0</v>
      </c>
      <c r="G90" s="684">
        <f t="shared" si="12"/>
        <v>0</v>
      </c>
      <c r="H90" s="684">
        <f t="shared" si="12"/>
        <v>0</v>
      </c>
      <c r="I90" s="684">
        <f>SUM(I87:I89)</f>
        <v>0</v>
      </c>
      <c r="J90" s="684">
        <f>SUM(J87:J89)</f>
        <v>82505.042016806721</v>
      </c>
      <c r="K90" s="684">
        <f t="shared" ref="K90:L90" si="13">SUM(K87:K89)</f>
        <v>0</v>
      </c>
      <c r="L90" s="684">
        <f t="shared" si="13"/>
        <v>0</v>
      </c>
      <c r="M90" s="684">
        <f>SUM(M87:M89)</f>
        <v>0</v>
      </c>
      <c r="N90" s="684">
        <f>SUM(N87:N89)</f>
        <v>0</v>
      </c>
      <c r="O90" s="684">
        <f>SUM(O87:O89)</f>
        <v>0</v>
      </c>
      <c r="P90" s="684">
        <v>0</v>
      </c>
      <c r="Q90" s="684">
        <f>SUM(Q87:Q89)</f>
        <v>106.94117647058827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12417.021967532939</v>
      </c>
      <c r="C4" s="442">
        <f>huishoudens!C8</f>
        <v>0</v>
      </c>
      <c r="D4" s="442">
        <f>huishoudens!D8</f>
        <v>20644.284787863155</v>
      </c>
      <c r="E4" s="442">
        <f>huishoudens!E8</f>
        <v>612.32537631530124</v>
      </c>
      <c r="F4" s="442">
        <f>huishoudens!F8</f>
        <v>19316.955286802327</v>
      </c>
      <c r="G4" s="442">
        <f>huishoudens!G8</f>
        <v>0</v>
      </c>
      <c r="H4" s="442">
        <f>huishoudens!H8</f>
        <v>0</v>
      </c>
      <c r="I4" s="442">
        <f>huishoudens!I8</f>
        <v>0</v>
      </c>
      <c r="J4" s="442">
        <f>huishoudens!J8</f>
        <v>450.47066756295771</v>
      </c>
      <c r="K4" s="442">
        <f>huishoudens!K8</f>
        <v>0</v>
      </c>
      <c r="L4" s="442">
        <f>huishoudens!L8</f>
        <v>0</v>
      </c>
      <c r="M4" s="442">
        <f>huishoudens!M8</f>
        <v>0</v>
      </c>
      <c r="N4" s="442">
        <f>huishoudens!N8</f>
        <v>3128.339022965296</v>
      </c>
      <c r="O4" s="442">
        <f>huishoudens!O8</f>
        <v>67.223333333333329</v>
      </c>
      <c r="P4" s="443">
        <f>huishoudens!P8</f>
        <v>286</v>
      </c>
      <c r="Q4" s="444">
        <f>SUM(B4:P4)</f>
        <v>56922.620442375308</v>
      </c>
    </row>
    <row r="5" spans="1:17">
      <c r="A5" s="441" t="s">
        <v>149</v>
      </c>
      <c r="B5" s="442">
        <f ca="1">tertiair!B16</f>
        <v>12383.276129999998</v>
      </c>
      <c r="C5" s="442">
        <f ca="1">tertiair!C16</f>
        <v>0</v>
      </c>
      <c r="D5" s="442">
        <f ca="1">tertiair!D16</f>
        <v>12110.051103899124</v>
      </c>
      <c r="E5" s="442">
        <f>tertiair!E16</f>
        <v>232.3882176531277</v>
      </c>
      <c r="F5" s="442">
        <f ca="1">tertiair!F16</f>
        <v>2909.9560417670891</v>
      </c>
      <c r="G5" s="442">
        <f>tertiair!G16</f>
        <v>0</v>
      </c>
      <c r="H5" s="442">
        <f>tertiair!H16</f>
        <v>0</v>
      </c>
      <c r="I5" s="442">
        <f>tertiair!I16</f>
        <v>0</v>
      </c>
      <c r="J5" s="442">
        <f>tertiair!J16</f>
        <v>0</v>
      </c>
      <c r="K5" s="442">
        <f>tertiair!K16</f>
        <v>0</v>
      </c>
      <c r="L5" s="442">
        <f ca="1">tertiair!L16</f>
        <v>0</v>
      </c>
      <c r="M5" s="442">
        <f>tertiair!M16</f>
        <v>0</v>
      </c>
      <c r="N5" s="442">
        <f ca="1">tertiair!N16</f>
        <v>955.73815158582966</v>
      </c>
      <c r="O5" s="442">
        <f>tertiair!O16</f>
        <v>0</v>
      </c>
      <c r="P5" s="443">
        <f>tertiair!P16</f>
        <v>0</v>
      </c>
      <c r="Q5" s="441">
        <f t="shared" ref="Q5:Q14" ca="1" si="0">SUM(B5:P5)</f>
        <v>28591.409644905165</v>
      </c>
    </row>
    <row r="6" spans="1:17">
      <c r="A6" s="441" t="s">
        <v>187</v>
      </c>
      <c r="B6" s="442">
        <f>'openbare verlichting'!B8</f>
        <v>643.49</v>
      </c>
      <c r="C6" s="442"/>
      <c r="D6" s="442"/>
      <c r="E6" s="442"/>
      <c r="F6" s="442"/>
      <c r="G6" s="442"/>
      <c r="H6" s="442"/>
      <c r="I6" s="442"/>
      <c r="J6" s="442"/>
      <c r="K6" s="442"/>
      <c r="L6" s="442"/>
      <c r="M6" s="442"/>
      <c r="N6" s="442"/>
      <c r="O6" s="442"/>
      <c r="P6" s="443"/>
      <c r="Q6" s="441">
        <f t="shared" si="0"/>
        <v>643.49</v>
      </c>
    </row>
    <row r="7" spans="1:17">
      <c r="A7" s="441" t="s">
        <v>105</v>
      </c>
      <c r="B7" s="442">
        <f>landbouw!B8</f>
        <v>8336.2264199999991</v>
      </c>
      <c r="C7" s="442">
        <f>landbouw!C8</f>
        <v>70579.28571428571</v>
      </c>
      <c r="D7" s="442">
        <f>landbouw!D8</f>
        <v>1863.1595023605321</v>
      </c>
      <c r="E7" s="442">
        <f>landbouw!E8</f>
        <v>178.75819964962378</v>
      </c>
      <c r="F7" s="442">
        <f>landbouw!F8</f>
        <v>27040.047296728375</v>
      </c>
      <c r="G7" s="442">
        <f>landbouw!G8</f>
        <v>0</v>
      </c>
      <c r="H7" s="442">
        <f>landbouw!H8</f>
        <v>0</v>
      </c>
      <c r="I7" s="442">
        <f>landbouw!I8</f>
        <v>0</v>
      </c>
      <c r="J7" s="442">
        <f>landbouw!J8</f>
        <v>803.19982109929526</v>
      </c>
      <c r="K7" s="442">
        <f>landbouw!K8</f>
        <v>0</v>
      </c>
      <c r="L7" s="442">
        <f>landbouw!L8</f>
        <v>0</v>
      </c>
      <c r="M7" s="442">
        <f>landbouw!M8</f>
        <v>0</v>
      </c>
      <c r="N7" s="442">
        <f>landbouw!N8</f>
        <v>0</v>
      </c>
      <c r="O7" s="442">
        <f>landbouw!O8</f>
        <v>0</v>
      </c>
      <c r="P7" s="443">
        <f>landbouw!P8</f>
        <v>0</v>
      </c>
      <c r="Q7" s="441">
        <f t="shared" si="0"/>
        <v>108800.67695412353</v>
      </c>
    </row>
    <row r="8" spans="1:17">
      <c r="A8" s="441" t="s">
        <v>612</v>
      </c>
      <c r="B8" s="442">
        <f>industrie!B18</f>
        <v>9133.1172999999999</v>
      </c>
      <c r="C8" s="442">
        <f>industrie!C18</f>
        <v>0</v>
      </c>
      <c r="D8" s="442">
        <f>industrie!D18</f>
        <v>2492.7759502176377</v>
      </c>
      <c r="E8" s="442">
        <f>industrie!E18</f>
        <v>720.83202647462076</v>
      </c>
      <c r="F8" s="442">
        <f>industrie!F18</f>
        <v>3260.154826471568</v>
      </c>
      <c r="G8" s="442">
        <f>industrie!G18</f>
        <v>0</v>
      </c>
      <c r="H8" s="442">
        <f>industrie!H18</f>
        <v>0</v>
      </c>
      <c r="I8" s="442">
        <f>industrie!I18</f>
        <v>0</v>
      </c>
      <c r="J8" s="442">
        <f>industrie!J18</f>
        <v>35.27656100322374</v>
      </c>
      <c r="K8" s="442">
        <f>industrie!K18</f>
        <v>0</v>
      </c>
      <c r="L8" s="442">
        <f>industrie!L18</f>
        <v>0</v>
      </c>
      <c r="M8" s="442">
        <f>industrie!M18</f>
        <v>0</v>
      </c>
      <c r="N8" s="442">
        <f>industrie!N18</f>
        <v>630.09864657289233</v>
      </c>
      <c r="O8" s="442">
        <f>industrie!O18</f>
        <v>0</v>
      </c>
      <c r="P8" s="443">
        <f>industrie!P18</f>
        <v>0</v>
      </c>
      <c r="Q8" s="441">
        <f t="shared" si="0"/>
        <v>16272.255310739942</v>
      </c>
    </row>
    <row r="9" spans="1:17" s="447" customFormat="1">
      <c r="A9" s="445" t="s">
        <v>556</v>
      </c>
      <c r="B9" s="446">
        <f>transport!B14</f>
        <v>8.9148863509324396</v>
      </c>
      <c r="C9" s="446">
        <f>transport!C14</f>
        <v>0</v>
      </c>
      <c r="D9" s="446">
        <f>transport!D14</f>
        <v>13.809381031273309</v>
      </c>
      <c r="E9" s="446">
        <f>transport!E14</f>
        <v>133.39328384212646</v>
      </c>
      <c r="F9" s="446">
        <f>transport!F14</f>
        <v>0</v>
      </c>
      <c r="G9" s="446">
        <f>transport!G14</f>
        <v>49851.95228984471</v>
      </c>
      <c r="H9" s="446">
        <f>transport!H14</f>
        <v>8461.4170650311189</v>
      </c>
      <c r="I9" s="446">
        <f>transport!I14</f>
        <v>0</v>
      </c>
      <c r="J9" s="446">
        <f>transport!J14</f>
        <v>0</v>
      </c>
      <c r="K9" s="446">
        <f>transport!K14</f>
        <v>0</v>
      </c>
      <c r="L9" s="446">
        <f>transport!L14</f>
        <v>0</v>
      </c>
      <c r="M9" s="446">
        <f>transport!M14</f>
        <v>3148.3716358477259</v>
      </c>
      <c r="N9" s="446">
        <f>transport!N14</f>
        <v>0</v>
      </c>
      <c r="O9" s="446">
        <f>transport!O14</f>
        <v>0</v>
      </c>
      <c r="P9" s="446">
        <f>transport!P14</f>
        <v>0</v>
      </c>
      <c r="Q9" s="445">
        <f>SUM(B9:P9)</f>
        <v>61617.858541947891</v>
      </c>
    </row>
    <row r="10" spans="1:17">
      <c r="A10" s="441" t="s">
        <v>546</v>
      </c>
      <c r="B10" s="442">
        <f>transport!B54</f>
        <v>3.1348735021710232</v>
      </c>
      <c r="C10" s="442">
        <f>transport!C54</f>
        <v>0</v>
      </c>
      <c r="D10" s="442">
        <f>transport!D54</f>
        <v>0</v>
      </c>
      <c r="E10" s="442">
        <f>transport!E54</f>
        <v>0</v>
      </c>
      <c r="F10" s="442">
        <f>transport!F54</f>
        <v>0</v>
      </c>
      <c r="G10" s="442">
        <f>transport!G54</f>
        <v>594.01717605255658</v>
      </c>
      <c r="H10" s="442">
        <f>transport!H54</f>
        <v>0</v>
      </c>
      <c r="I10" s="442">
        <f>transport!I54</f>
        <v>0</v>
      </c>
      <c r="J10" s="442">
        <f>transport!J54</f>
        <v>0</v>
      </c>
      <c r="K10" s="442">
        <f>transport!K54</f>
        <v>0</v>
      </c>
      <c r="L10" s="442">
        <f>transport!L54</f>
        <v>0</v>
      </c>
      <c r="M10" s="442">
        <f>transport!M54</f>
        <v>34.196402196572073</v>
      </c>
      <c r="N10" s="442">
        <f>transport!N54</f>
        <v>0</v>
      </c>
      <c r="O10" s="442">
        <f>transport!O54</f>
        <v>0</v>
      </c>
      <c r="P10" s="443">
        <f>transport!P54</f>
        <v>0</v>
      </c>
      <c r="Q10" s="441">
        <f t="shared" si="0"/>
        <v>631.34845175129965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808.84900000000005</v>
      </c>
      <c r="C14" s="449"/>
      <c r="D14" s="449">
        <f>'SEAP template'!E25</f>
        <v>578.82899632836404</v>
      </c>
      <c r="E14" s="449"/>
      <c r="F14" s="449"/>
      <c r="G14" s="449"/>
      <c r="H14" s="449"/>
      <c r="I14" s="449"/>
      <c r="J14" s="449"/>
      <c r="K14" s="449"/>
      <c r="L14" s="449"/>
      <c r="M14" s="449"/>
      <c r="N14" s="449"/>
      <c r="O14" s="449"/>
      <c r="P14" s="450"/>
      <c r="Q14" s="441">
        <f t="shared" si="0"/>
        <v>1387.6779963283641</v>
      </c>
    </row>
    <row r="15" spans="1:17" s="451" customFormat="1">
      <c r="A15" s="969" t="s">
        <v>550</v>
      </c>
      <c r="B15" s="909">
        <f ca="1">SUM(B4:B14)</f>
        <v>43734.030577386038</v>
      </c>
      <c r="C15" s="909">
        <f t="shared" ref="C15:Q15" ca="1" si="1">SUM(C4:C14)</f>
        <v>70579.28571428571</v>
      </c>
      <c r="D15" s="909">
        <f t="shared" ca="1" si="1"/>
        <v>37702.909721700082</v>
      </c>
      <c r="E15" s="909">
        <f t="shared" si="1"/>
        <v>1877.6971039348</v>
      </c>
      <c r="F15" s="909">
        <f t="shared" ca="1" si="1"/>
        <v>52527.113451769357</v>
      </c>
      <c r="G15" s="909">
        <f t="shared" si="1"/>
        <v>50445.969465897266</v>
      </c>
      <c r="H15" s="909">
        <f t="shared" si="1"/>
        <v>8461.4170650311189</v>
      </c>
      <c r="I15" s="909">
        <f t="shared" si="1"/>
        <v>0</v>
      </c>
      <c r="J15" s="909">
        <f t="shared" si="1"/>
        <v>1288.9470496654767</v>
      </c>
      <c r="K15" s="909">
        <f t="shared" si="1"/>
        <v>0</v>
      </c>
      <c r="L15" s="909">
        <f t="shared" ca="1" si="1"/>
        <v>0</v>
      </c>
      <c r="M15" s="909">
        <f t="shared" si="1"/>
        <v>3182.5680380442977</v>
      </c>
      <c r="N15" s="909">
        <f t="shared" ca="1" si="1"/>
        <v>4714.1758211240176</v>
      </c>
      <c r="O15" s="909">
        <f t="shared" si="1"/>
        <v>67.223333333333329</v>
      </c>
      <c r="P15" s="909">
        <f t="shared" si="1"/>
        <v>286</v>
      </c>
      <c r="Q15" s="909">
        <f t="shared" ca="1" si="1"/>
        <v>274867.33734217152</v>
      </c>
    </row>
    <row r="17" spans="1:17">
      <c r="A17" s="452" t="s">
        <v>551</v>
      </c>
      <c r="B17" s="715">
        <f ca="1">huishoudens!B10</f>
        <v>1.3643917270953444E-3</v>
      </c>
      <c r="C17" s="715">
        <f ca="1">huishoudens!C10</f>
        <v>1.5151921047132767E-3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16.941682047663097</v>
      </c>
      <c r="C22" s="442">
        <f t="shared" ref="C22:C32" ca="1" si="3">C4*$C$17</f>
        <v>0</v>
      </c>
      <c r="D22" s="442">
        <f t="shared" ref="D22:D32" si="4">D4*$D$17</f>
        <v>4170.1455271483574</v>
      </c>
      <c r="E22" s="442">
        <f t="shared" ref="E22:E32" si="5">E4*$E$17</f>
        <v>138.9978604235734</v>
      </c>
      <c r="F22" s="442">
        <f t="shared" ref="F22:F32" si="6">F4*$F$17</f>
        <v>5157.6270615762214</v>
      </c>
      <c r="G22" s="442">
        <f t="shared" ref="G22:G32" si="7">G4*$G$17</f>
        <v>0</v>
      </c>
      <c r="H22" s="442">
        <f t="shared" ref="H22:H32" si="8">H4*$H$17</f>
        <v>0</v>
      </c>
      <c r="I22" s="442">
        <f t="shared" ref="I22:I32" si="9">I4*$I$17</f>
        <v>0</v>
      </c>
      <c r="J22" s="442">
        <f t="shared" ref="J22:J32" si="10">J4*$J$17</f>
        <v>159.46661631728702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9643.1787475131023</v>
      </c>
    </row>
    <row r="23" spans="1:17">
      <c r="A23" s="441" t="s">
        <v>149</v>
      </c>
      <c r="B23" s="442">
        <f t="shared" ca="1" si="2"/>
        <v>16.895639506109251</v>
      </c>
      <c r="C23" s="442">
        <f t="shared" ca="1" si="3"/>
        <v>0</v>
      </c>
      <c r="D23" s="442">
        <f t="shared" ca="1" si="4"/>
        <v>2446.2303229876234</v>
      </c>
      <c r="E23" s="442">
        <f t="shared" si="5"/>
        <v>52.752125407259989</v>
      </c>
      <c r="F23" s="442">
        <f t="shared" ca="1" si="6"/>
        <v>776.95826315181284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3292.8363510528052</v>
      </c>
    </row>
    <row r="24" spans="1:17">
      <c r="A24" s="441" t="s">
        <v>187</v>
      </c>
      <c r="B24" s="442">
        <f t="shared" ca="1" si="2"/>
        <v>0.87797243246858314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0.87797243246858314</v>
      </c>
    </row>
    <row r="25" spans="1:17">
      <c r="A25" s="441" t="s">
        <v>105</v>
      </c>
      <c r="B25" s="442">
        <f t="shared" ca="1" si="2"/>
        <v>11.373878362641639</v>
      </c>
      <c r="C25" s="442">
        <f t="shared" ca="1" si="3"/>
        <v>106.94117647058827</v>
      </c>
      <c r="D25" s="442">
        <f t="shared" si="4"/>
        <v>376.35821947682751</v>
      </c>
      <c r="E25" s="442">
        <f t="shared" si="5"/>
        <v>40.5781113204646</v>
      </c>
      <c r="F25" s="442">
        <f t="shared" si="6"/>
        <v>7219.6926282264767</v>
      </c>
      <c r="G25" s="442">
        <f t="shared" si="7"/>
        <v>0</v>
      </c>
      <c r="H25" s="442">
        <f t="shared" si="8"/>
        <v>0</v>
      </c>
      <c r="I25" s="442">
        <f t="shared" si="9"/>
        <v>0</v>
      </c>
      <c r="J25" s="442">
        <f t="shared" si="10"/>
        <v>284.33273666915051</v>
      </c>
      <c r="K25" s="442">
        <f t="shared" si="11"/>
        <v>0</v>
      </c>
      <c r="L25" s="442">
        <f t="shared" si="12"/>
        <v>0</v>
      </c>
      <c r="M25" s="442">
        <f t="shared" si="13"/>
        <v>0</v>
      </c>
      <c r="N25" s="442">
        <f t="shared" si="14"/>
        <v>0</v>
      </c>
      <c r="O25" s="442">
        <f t="shared" si="15"/>
        <v>0</v>
      </c>
      <c r="P25" s="443">
        <f t="shared" si="16"/>
        <v>0</v>
      </c>
      <c r="Q25" s="441">
        <f t="shared" ca="1" si="17"/>
        <v>8039.276750526149</v>
      </c>
    </row>
    <row r="26" spans="1:17">
      <c r="A26" s="441" t="s">
        <v>612</v>
      </c>
      <c r="B26" s="442">
        <f t="shared" ca="1" si="2"/>
        <v>12.461149686711368</v>
      </c>
      <c r="C26" s="442">
        <f t="shared" ca="1" si="3"/>
        <v>0</v>
      </c>
      <c r="D26" s="442">
        <f t="shared" si="4"/>
        <v>503.54074194396287</v>
      </c>
      <c r="E26" s="442">
        <f t="shared" si="5"/>
        <v>163.6288700097389</v>
      </c>
      <c r="F26" s="442">
        <f t="shared" si="6"/>
        <v>870.46133866790865</v>
      </c>
      <c r="G26" s="442">
        <f t="shared" si="7"/>
        <v>0</v>
      </c>
      <c r="H26" s="442">
        <f t="shared" si="8"/>
        <v>0</v>
      </c>
      <c r="I26" s="442">
        <f t="shared" si="9"/>
        <v>0</v>
      </c>
      <c r="J26" s="442">
        <f t="shared" si="10"/>
        <v>12.487902595141204</v>
      </c>
      <c r="K26" s="442">
        <f t="shared" si="11"/>
        <v>0</v>
      </c>
      <c r="L26" s="442">
        <f t="shared" si="12"/>
        <v>0</v>
      </c>
      <c r="M26" s="442">
        <f t="shared" si="13"/>
        <v>0</v>
      </c>
      <c r="N26" s="442">
        <f t="shared" si="14"/>
        <v>0</v>
      </c>
      <c r="O26" s="442">
        <f t="shared" si="15"/>
        <v>0</v>
      </c>
      <c r="P26" s="443">
        <f t="shared" si="16"/>
        <v>0</v>
      </c>
      <c r="Q26" s="441">
        <f t="shared" ca="1" si="17"/>
        <v>1562.5800029034629</v>
      </c>
    </row>
    <row r="27" spans="1:17" s="447" customFormat="1">
      <c r="A27" s="445" t="s">
        <v>556</v>
      </c>
      <c r="B27" s="709">
        <f t="shared" ca="1" si="2"/>
        <v>1.2163397185207423E-2</v>
      </c>
      <c r="C27" s="446">
        <f t="shared" ca="1" si="3"/>
        <v>0</v>
      </c>
      <c r="D27" s="446">
        <f t="shared" si="4"/>
        <v>2.7894949683172086</v>
      </c>
      <c r="E27" s="446">
        <f t="shared" si="5"/>
        <v>30.280275432162707</v>
      </c>
      <c r="F27" s="446">
        <f t="shared" si="6"/>
        <v>0</v>
      </c>
      <c r="G27" s="446">
        <f t="shared" si="7"/>
        <v>13310.471261388539</v>
      </c>
      <c r="H27" s="446">
        <f t="shared" si="8"/>
        <v>2106.8928491927486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15450.446044378952</v>
      </c>
    </row>
    <row r="28" spans="1:17">
      <c r="A28" s="441" t="s">
        <v>546</v>
      </c>
      <c r="B28" s="442">
        <f t="shared" ca="1" si="2"/>
        <v>4.2771954718525528E-3</v>
      </c>
      <c r="C28" s="442">
        <f t="shared" ca="1" si="3"/>
        <v>0</v>
      </c>
      <c r="D28" s="442">
        <f t="shared" si="4"/>
        <v>0</v>
      </c>
      <c r="E28" s="442">
        <f t="shared" si="5"/>
        <v>0</v>
      </c>
      <c r="F28" s="442">
        <f t="shared" si="6"/>
        <v>0</v>
      </c>
      <c r="G28" s="442">
        <f t="shared" si="7"/>
        <v>158.60258600603262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158.60686320150447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1.1035868840693424</v>
      </c>
      <c r="C32" s="442">
        <f t="shared" ca="1" si="3"/>
        <v>0</v>
      </c>
      <c r="D32" s="442">
        <f t="shared" si="4"/>
        <v>116.92345725832955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118.02704414239889</v>
      </c>
    </row>
    <row r="33" spans="1:17" s="451" customFormat="1">
      <c r="A33" s="969" t="s">
        <v>550</v>
      </c>
      <c r="B33" s="909">
        <f ca="1">SUM(B22:B32)</f>
        <v>59.670349512320335</v>
      </c>
      <c r="C33" s="909">
        <f t="shared" ref="C33:Q33" ca="1" si="18">SUM(C22:C32)</f>
        <v>106.94117647058827</v>
      </c>
      <c r="D33" s="909">
        <f t="shared" ca="1" si="18"/>
        <v>7615.987763783417</v>
      </c>
      <c r="E33" s="909">
        <f t="shared" si="18"/>
        <v>426.2372425931996</v>
      </c>
      <c r="F33" s="909">
        <f t="shared" ca="1" si="18"/>
        <v>14024.73929162242</v>
      </c>
      <c r="G33" s="909">
        <f t="shared" si="18"/>
        <v>13469.073847394571</v>
      </c>
      <c r="H33" s="909">
        <f t="shared" si="18"/>
        <v>2106.8928491927486</v>
      </c>
      <c r="I33" s="909">
        <f t="shared" si="18"/>
        <v>0</v>
      </c>
      <c r="J33" s="909">
        <f t="shared" si="18"/>
        <v>456.28725558157868</v>
      </c>
      <c r="K33" s="909">
        <f t="shared" si="18"/>
        <v>0</v>
      </c>
      <c r="L33" s="909">
        <f t="shared" ca="1" si="18"/>
        <v>0</v>
      </c>
      <c r="M33" s="909">
        <f t="shared" si="18"/>
        <v>0</v>
      </c>
      <c r="N33" s="909">
        <f t="shared" ca="1" si="18"/>
        <v>0</v>
      </c>
      <c r="O33" s="909">
        <f t="shared" si="18"/>
        <v>0</v>
      </c>
      <c r="P33" s="909">
        <f t="shared" si="18"/>
        <v>0</v>
      </c>
      <c r="Q33" s="909">
        <f t="shared" ca="1" si="18"/>
        <v>38265.829776150844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5460.5784456520123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49090.5</v>
      </c>
      <c r="C8" s="986">
        <f>'SEAP template'!C76</f>
        <v>315.00000000000011</v>
      </c>
      <c r="D8" s="986">
        <f>'SEAP template'!D76</f>
        <v>370.58823529411779</v>
      </c>
      <c r="E8" s="986">
        <f>'SEAP template'!E76</f>
        <v>0</v>
      </c>
      <c r="F8" s="986">
        <f>'SEAP template'!F76</f>
        <v>0</v>
      </c>
      <c r="G8" s="986">
        <f>'SEAP template'!G76</f>
        <v>0</v>
      </c>
      <c r="H8" s="986">
        <f>'SEAP template'!H76</f>
        <v>0</v>
      </c>
      <c r="I8" s="986">
        <f>'SEAP template'!I76</f>
        <v>0</v>
      </c>
      <c r="J8" s="986">
        <f>'SEAP template'!J76</f>
        <v>57753.529411764706</v>
      </c>
      <c r="K8" s="986">
        <f>'SEAP template'!K76</f>
        <v>0</v>
      </c>
      <c r="L8" s="986">
        <f>'SEAP template'!L76</f>
        <v>0</v>
      </c>
      <c r="M8" s="986">
        <f>'SEAP template'!M76</f>
        <v>0</v>
      </c>
      <c r="N8" s="986">
        <f>'SEAP template'!N76</f>
        <v>0</v>
      </c>
      <c r="O8" s="986">
        <f>'SEAP template'!O76</f>
        <v>0</v>
      </c>
      <c r="P8" s="987">
        <f>'SEAP template'!Q76</f>
        <v>74.858823529411794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54551.078445652012</v>
      </c>
      <c r="C10" s="990">
        <f>SUM(C4:C9)</f>
        <v>315.00000000000011</v>
      </c>
      <c r="D10" s="990">
        <f t="shared" ref="D10:H10" si="0">SUM(D8:D9)</f>
        <v>370.58823529411779</v>
      </c>
      <c r="E10" s="990">
        <f t="shared" si="0"/>
        <v>0</v>
      </c>
      <c r="F10" s="990">
        <f t="shared" si="0"/>
        <v>0</v>
      </c>
      <c r="G10" s="990">
        <f t="shared" si="0"/>
        <v>0</v>
      </c>
      <c r="H10" s="990">
        <f t="shared" si="0"/>
        <v>0</v>
      </c>
      <c r="I10" s="990">
        <f>SUM(I8:I9)</f>
        <v>0</v>
      </c>
      <c r="J10" s="990">
        <f>SUM(J8:J9)</f>
        <v>57753.529411764706</v>
      </c>
      <c r="K10" s="990">
        <f t="shared" ref="K10:L10" si="1">SUM(K8:K9)</f>
        <v>0</v>
      </c>
      <c r="L10" s="990">
        <f t="shared" si="1"/>
        <v>0</v>
      </c>
      <c r="M10" s="990">
        <f>SUM(M8:M9)</f>
        <v>0</v>
      </c>
      <c r="N10" s="990">
        <f>SUM(N8:N9)</f>
        <v>0</v>
      </c>
      <c r="O10" s="990">
        <f>SUM(O8:O9)</f>
        <v>0</v>
      </c>
      <c r="P10" s="990">
        <f>SUM(P8:P9)</f>
        <v>74.858823529411794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1.3643917270953444E-3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70129.28571428571</v>
      </c>
      <c r="C17" s="992">
        <f>'SEAP template'!C87</f>
        <v>450.00000000000011</v>
      </c>
      <c r="D17" s="987">
        <f>'SEAP template'!D87</f>
        <v>529.41176470588255</v>
      </c>
      <c r="E17" s="987">
        <f>'SEAP template'!E87</f>
        <v>0</v>
      </c>
      <c r="F17" s="987">
        <f>'SEAP template'!F87</f>
        <v>0</v>
      </c>
      <c r="G17" s="987">
        <f>'SEAP template'!G87</f>
        <v>0</v>
      </c>
      <c r="H17" s="987">
        <f>'SEAP template'!H87</f>
        <v>0</v>
      </c>
      <c r="I17" s="987">
        <f>'SEAP template'!I87</f>
        <v>0</v>
      </c>
      <c r="J17" s="987">
        <f>'SEAP template'!J87</f>
        <v>82505.042016806721</v>
      </c>
      <c r="K17" s="987">
        <f>'SEAP template'!K87</f>
        <v>0</v>
      </c>
      <c r="L17" s="987">
        <f>'SEAP template'!L87</f>
        <v>0</v>
      </c>
      <c r="M17" s="987">
        <f>'SEAP template'!M87</f>
        <v>0</v>
      </c>
      <c r="N17" s="987">
        <f>'SEAP template'!N87</f>
        <v>0</v>
      </c>
      <c r="O17" s="987">
        <f>'SEAP template'!O87</f>
        <v>0</v>
      </c>
      <c r="P17" s="987">
        <f>'SEAP template'!Q87</f>
        <v>106.94117647058827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70129.28571428571</v>
      </c>
      <c r="C20" s="990">
        <f>SUM(C17:C19)</f>
        <v>450.00000000000011</v>
      </c>
      <c r="D20" s="990">
        <f t="shared" ref="D20:H20" si="2">SUM(D17:D19)</f>
        <v>529.41176470588255</v>
      </c>
      <c r="E20" s="990">
        <f t="shared" si="2"/>
        <v>0</v>
      </c>
      <c r="F20" s="990">
        <f t="shared" si="2"/>
        <v>0</v>
      </c>
      <c r="G20" s="990">
        <f t="shared" si="2"/>
        <v>0</v>
      </c>
      <c r="H20" s="990">
        <f t="shared" si="2"/>
        <v>0</v>
      </c>
      <c r="I20" s="990">
        <f>SUM(I17:I19)</f>
        <v>0</v>
      </c>
      <c r="J20" s="990">
        <f>SUM(J17:J19)</f>
        <v>82505.042016806721</v>
      </c>
      <c r="K20" s="990">
        <f t="shared" ref="K20:L20" si="3">SUM(K17:K19)</f>
        <v>0</v>
      </c>
      <c r="L20" s="990">
        <f t="shared" si="3"/>
        <v>0</v>
      </c>
      <c r="M20" s="990">
        <f>SUM(M17:M19)</f>
        <v>0</v>
      </c>
      <c r="N20" s="990">
        <f>SUM(N17:N19)</f>
        <v>0</v>
      </c>
      <c r="O20" s="990">
        <f>SUM(O17:O19)</f>
        <v>0</v>
      </c>
      <c r="P20" s="990">
        <f>SUM(P17:P19)</f>
        <v>106.94117647058827</v>
      </c>
    </row>
    <row r="22" spans="1:16">
      <c r="A22" s="452" t="s">
        <v>826</v>
      </c>
      <c r="B22" s="715" t="s">
        <v>820</v>
      </c>
      <c r="C22" s="715">
        <f ca="1">'EF ele_warmte'!B22</f>
        <v>1.5151921047132767E-3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1.3643917270953444E-3</v>
      </c>
      <c r="C17" s="489">
        <f ca="1">'EF ele_warmte'!B22</f>
        <v>1.5151921047132767E-3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2022-07-26T11:38:59Z</dcterms:modified>
</cp:coreProperties>
</file>