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81F95C9B-9F9E-42E9-951A-DA2055095A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<sst xmlns="http://schemas.openxmlformats.org/spreadsheetml/2006/main" count="2446" uniqueCount="909">
  <si>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</si>
  <si>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</si>
  <si>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</si>
  <si>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</si>
  <si>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</si>
  <si>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</si>
  <si>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</si>
  <si>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</si>
  <si>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</si>
  <si>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</si>
  <si>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</si>
  <si>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</si>
  <si>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</si>
  <si>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</si>
  <si>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</si>
  <si>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</si>
  <si>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</si>
  <si>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</si>
  <si>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</si>
  <si>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</si>
  <si>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</si>
  <si>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</si>
  <si>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</si>
  <si>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</si>
  <si>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</si>
  <si>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</si>
  <si>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</si>
  <si>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</si>
  <si>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</si>
  <si>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</si>
  <si>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</si>
  <si>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</si>
  <si>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</si>
  <si>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</si>
  <si>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</si>
  <si>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</si>
  <si>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</si>
  <si>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</si>
  <si>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</si>
  <si>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</si>
  <si>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</si>
  <si>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</si>
  <si>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</si>
  <si>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</si>
  <si>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</si>
  <si>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</si>
  <si>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</si>
  <si>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</si>
  <si>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</si>
  <si>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</si>
  <si>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</si>
  <si>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</si>
  <si>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</si>
  <si>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</si>
  <si>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</si>
  <si>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</si>
  <si>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</si>
  <si>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</si>
  <si>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</si>
  <si>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</si>
  <si>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</si>
  <si>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</si>
  <si>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</si>
  <si>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</si>
  <si>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</si>
  <si>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</si>
  <si>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</si>
  <si>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</si>
  <si>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</si>
  <si>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</si>
  <si>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</si>
  <si>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</si>
  <si>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</si>
  <si>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</si>
  <si>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</si>
  <si>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</si>
  <si>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</si>
  <si>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</si>
  <si>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</si>
  <si>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</si>
  <si>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</si>
  <si>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</si>
  <si>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</si>
  <si>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</si>
  <si>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</si>
  <si>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</si>
  <si>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</si>
  <si>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</si>
  <si>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</si>
  <si>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</si>
  <si>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</si>
  <si>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</si>
  <si>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</si>
  <si>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</si>
  <si>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</si>
  <si>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</si>
  <si>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</si>
  <si>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</si>
  <si>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</si>
  <si>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</si>
  <si>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</si>
  <si>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</si>
  <si>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</si>
  <si>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</si>
  <si>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</si>
  <si>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</si>
  <si>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</si>
  <si>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</si>
  <si>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</si>
  <si>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</si>
  <si>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</si>
  <si>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</si>
  <si>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</si>
  <si>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</si>
  <si>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</si>
  <si>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</si>
  <si>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</si>
  <si>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</si>
  <si>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</si>
  <si>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</si>
  <si>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</si>
  <si>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</si>
  <si>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</si>
  <si>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</si>
  <si>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</si>
  <si>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</si>
  <si>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</si>
  <si>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</si>
  <si>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</si>
  <si>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</si>
  <si>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</si>
  <si>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</si>
  <si>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</si>
  <si>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</si>
  <si>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</si>
  <si>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</si>
  <si>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</si>
  <si>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</si>
  <si>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</si>
  <si>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</si>
  <si>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</si>
  <si>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</si>
  <si>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</si>
  <si>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</si>
  <si>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</si>
  <si>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</si>
  <si>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</si>
  <si>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</si>
  <si>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</si>
  <si>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</si>
  <si>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</si>
  <si>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</si>
  <si>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</si>
  <si>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</si>
  <si>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</si>
  <si>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</si>
  <si>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</si>
  <si>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</si>
  <si>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</si>
  <si>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</si>
  <si>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</si>
  <si>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</si>
  <si>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</si>
  <si>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</si>
  <si>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</si>
  <si>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</si>
  <si>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</si>
  <si>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</si>
  <si>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</si>
  <si>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</si>
  <si>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</si>
  <si>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</si>
  <si>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</si>
  <si>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</si>
  <si>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</si>
  <si>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</si>
  <si>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</si>
  <si>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</si>
  <si>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</si>
  <si>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</si>
  <si>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</si>
  <si>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</si>
  <si>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</si>
  <si>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</si>
  <si>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</si>
  <si>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</si>
  <si>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</si>
  <si>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</si>
  <si>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</si>
  <si>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</si>
  <si>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</si>
  <si>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</si>
  <si>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</si>
  <si>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</si>
  <si>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</si>
  <si>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</si>
  <si>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</si>
  <si>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</si>
  <si>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</si>
  <si>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</si>
  <si>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</si>
  <si>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</si>
  <si>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</si>
  <si>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</si>
  <si>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</si>
  <si>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</si>
  <si>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</si>
  <si>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</si>
  <si>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</si>
  <si>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</si>
  <si>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</si>
  <si>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</si>
  <si>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</si>
  <si>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</si>
  <si>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</si>
  <si>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</si>
  <si>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</si>
  <si>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</si>
  <si>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</si>
  <si>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</si>
  <si>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</si>
  <si>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</si>
  <si>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</si>
  <si>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</si>
  <si>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</si>
  <si>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</si>
  <si>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</si>
  <si>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</si>
  <si>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</si>
  <si>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</si>
  <si>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</si>
  <si>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</si>
  <si>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</si>
  <si>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</si>
  <si>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</si>
  <si>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</si>
  <si>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</si>
  <si>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</si>
  <si>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</si>
  <si>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</si>
  <si>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</si>
  <si>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</si>
  <si>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</si>
  <si>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</si>
  <si>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</si>
  <si>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</si>
  <si>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</si>
  <si>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</si>
  <si>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</si>
  <si>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</si>
  <si>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</si>
  <si>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</si>
  <si>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</si>
  <si>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</si>
  <si>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</si>
  <si>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</si>
  <si>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</si>
  <si>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</si>
  <si>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</si>
  <si>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</si>
  <si>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</si>
  <si>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</si>
  <si>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</si>
  <si>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</si>
  <si>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</si>
  <si>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</si>
  <si>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</si>
  <si>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</si>
  <si>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</si>
  <si>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</si>
  <si>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</si>
  <si>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</si>
  <si>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</si>
  <si>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</si>
  <si>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</si>
  <si>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</si>
  <si>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</si>
  <si>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</si>
  <si>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</si>
  <si>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</si>
  <si>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</si>
  <si>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</si>
  <si>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</si>
  <si>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</si>
  <si>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</si>
  <si>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</si>
  <si>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</si>
  <si>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</si>
  <si>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</si>
  <si>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</si>
  <si>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</si>
  <si>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</si>
  <si>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</si>
  <si>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</si>
  <si>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</si>
  <si>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</si>
  <si>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</si>
  <si>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</si>
  <si>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</si>
  <si>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</si>
  <si>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</si>
  <si>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</si>
  <si>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</si>
  <si>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</si>
  <si>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</si>
  <si>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</si>
  <si>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</si>
  <si>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</si>
  <si>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</si>
  <si>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</si>
  <si>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</si>
  <si>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</si>
  <si>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</si>
  <si>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</si>
  <si>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</si>
  <si>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</si>
  <si>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</si>
  <si>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</si>
  <si>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</si>
  <si>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</si>
  <si>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</si>
  <si>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</si>
  <si>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</si>
  <si>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</si>
  <si>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</si>
  <si>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</si>
  <si>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</si>
  <si>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</si>
  <si>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</si>
  <si>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</si>
  <si>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</si>
  <si>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</si>
  <si>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</si>
  <si>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</si>
  <si>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</si>
  <si>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</si>
  <si>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</si>
  <si>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</si>
  <si>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</si>
  <si>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</si>
  <si>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</si>
  <si>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</si>
  <si>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</si>
  <si>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</si>
  <si>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</si>
  <si>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</si>
  <si>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</si>
  <si>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</si>
  <si>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</si>
  <si>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</si>
  <si>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</si>
  <si>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</si>
  <si>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</si>
  <si>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</si>
  <si>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</si>
  <si>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</si>
  <si>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</si>
  <si>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</si>
  <si>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</si>
  <si>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</si>
  <si>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</si>
  <si>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</si>
  <si>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</si>
  <si>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</si>
  <si>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</si>
  <si>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</si>
  <si>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</si>
  <si>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</si>
  <si>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</si>
  <si>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</si>
  <si>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</si>
  <si>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</si>
  <si>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</si>
  <si>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</si>
  <si>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</si>
  <si>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</si>
  <si>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</si>
  <si>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</si>
  <si>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</si>
  <si>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</si>
  <si>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</si>
  <si>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</si>
  <si>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</si>
  <si>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</si>
  <si>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</si>
  <si>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</si>
  <si>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</si>
  <si>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</si>
  <si>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</si>
  <si>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</si>
  <si>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</si>
  <si>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</si>
  <si>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</si>
  <si>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</si>
  <si>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</si>
  <si>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</si>
  <si>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</si>
  <si>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</si>
  <si>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</si>
  <si>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</si>
  <si>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</si>
  <si>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</si>
  <si>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</si>
  <si>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</si>
  <si>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</si>
  <si>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</si>
  <si>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</si>
  <si>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</si>
  <si>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</si>
  <si>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</si>
  <si>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</si>
  <si>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</si>
  <si>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</si>
  <si>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</si>
  <si>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</si>
  <si>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</si>
  <si>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</si>
  <si>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</si>
  <si>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</si>
  <si>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</si>
  <si>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</si>
  <si>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</si>
  <si>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</si>
  <si>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</si>
  <si>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</si>
  <si>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</si>
  <si>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</si>
  <si>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</si>
  <si>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</si>
  <si>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</si>
  <si>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</si>
  <si>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</si>
  <si>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</si>
  <si>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</si>
  <si>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</si>
  <si>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</si>
  <si>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</si>
  <si>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</si>
  <si>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</si>
  <si>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</si>
  <si>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</si>
  <si>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</si>
  <si>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</si>
  <si>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</si>
  <si>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</si>
  <si>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</si>
  <si>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</si>
  <si>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</si>
  <si>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</si>
  <si>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</si>
  <si>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</si>
  <si>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</si>
  <si>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</si>
  <si>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</si>
  <si>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</si>
  <si>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</si>
  <si>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</si>
  <si>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</si>
  <si>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</si>
  <si>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</si>
  <si>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</si>
  <si>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</si>
  <si>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</si>
  <si>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</si>
  <si>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</si>
  <si>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</si>
  <si>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</si>
  <si>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</si>
  <si>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</si>
  <si>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</si>
  <si>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</si>
  <si>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</si>
  <si>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</si>
  <si>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</si>
  <si>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</si>
  <si>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</si>
  <si>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</si>
  <si>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</si>
  <si>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</si>
  <si>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</si>
  <si>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</si>
  <si>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</si>
  <si>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</si>
  <si>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</si>
  <si>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</si>
  <si>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</si>
  <si>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</si>
  <si>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</si>
  <si>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</si>
  <si>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</si>
  <si>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</si>
  <si>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</si>
  <si>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</si>
  <si>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</si>
  <si>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</si>
  <si>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</si>
  <si>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</si>
  <si>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</si>
  <si>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</si>
  <si>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</si>
  <si>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</si>
  <si>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</si>
  <si>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</si>
  <si>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</si>
  <si>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</si>
  <si>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</si>
  <si>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</si>
  <si>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</si>
  <si>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</si>
  <si>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</si>
  <si>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</si>
  <si>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</si>
  <si>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</si>
  <si>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</si>
  <si>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</si>
  <si>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</si>
  <si>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</si>
  <si>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</si>
  <si>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</si>
  <si>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</si>
  <si>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</si>
  <si>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</si>
  <si>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</si>
  <si>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</si>
  <si>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</si>
  <si>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</si>
  <si>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</si>
  <si>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</si>
  <si>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</si>
  <si>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</si>
  <si>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</si>
  <si>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</si>
  <si>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</si>
  <si>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</si>
  <si>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</si>
  <si>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</si>
  <si>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</si>
  <si>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</si>
  <si>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</si>
  <si>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</si>
  <si>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</si>
  <si>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</si>
  <si>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</si>
  <si>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</si>
  <si>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</si>
  <si>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</si>
  <si>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</si>
  <si>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</si>
  <si>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</si>
  <si>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</si>
  <si>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</si>
  <si>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</si>
  <si>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</si>
  <si>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</si>
  <si>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</si>
  <si>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</si>
  <si>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</si>
  <si>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</si>
  <si>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</si>
  <si>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</si>
  <si>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</si>
  <si>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</si>
  <si>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</si>
  <si>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</si>
  <si>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</si>
  <si>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</si>
  <si>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</si>
  <si>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</si>
  <si>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</si>
  <si>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</si>
  <si>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</si>
  <si>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</si>
  <si>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</si>
  <si>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</si>
  <si>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</si>
  <si>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</si>
  <si>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</si>
  <si>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</si>
  <si>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</si>
  <si>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</si>
  <si>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</si>
  <si>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</si>
  <si>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</si>
  <si>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</si>
  <si>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</si>
  <si>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</si>
  <si>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</si>
  <si>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</si>
  <si>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</si>
  <si>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</si>
  <si>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</si>
  <si>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</si>
  <si>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</si>
  <si>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</si>
  <si>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</si>
  <si>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</si>
  <si>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</si>
  <si>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</si>
  <si>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</si>
  <si>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</si>
  <si>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</si>
  <si>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</si>
  <si>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</si>
  <si>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</si>
  <si>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</si>
  <si>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</si>
  <si>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</si>
  <si>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</si>
  <si>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</si>
  <si>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</si>
  <si>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</si>
  <si>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</si>
  <si>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</si>
  <si>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</si>
  <si>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</si>
  <si>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</si>
  <si>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</si>
  <si>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</si>
  <si>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</si>
  <si>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</si>
  <si>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</si>
  <si>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</si>
  <si>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</si>
  <si>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</si>
  <si>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</si>
  <si>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</si>
  <si>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</si>
  <si>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</si>
  <si>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</si>
  <si>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</si>
  <si>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</si>
  <si>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</si>
  <si>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</si>
  <si>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</si>
  <si>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</si>
  <si>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</si>
  <si>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</si>
  <si>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</si>
  <si>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</si>
  <si>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</si>
  <si>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</si>
  <si>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</si>
  <si>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</si>
  <si>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</si>
  <si>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</si>
  <si>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</si>
  <si>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</si>
  <si>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</si>
  <si>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</si>
  <si>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</si>
  <si>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</si>
  <si>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</si>
  <si>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</si>
  <si>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</si>
  <si>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</si>
  <si>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</si>
  <si>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</si>
  <si>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</si>
  <si>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</si>
  <si>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</si>
  <si>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</si>
  <si>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</si>
  <si>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</si>
  <si>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</si>
  <si>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</si>
  <si>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</si>
  <si>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</si>
  <si>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</si>
  <si>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</si>
  <si>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</si>
  <si>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</si>
  <si>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</si>
  <si>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</si>
  <si>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</si>
  <si>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</si>
  <si>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</si>
  <si>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</si>
  <si>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</si>
  <si>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</si>
  <si>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</si>
  <si>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</si>
  <si>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</si>
  <si>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</si>
  <si>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</si>
  <si>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</si>
  <si>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</si>
  <si>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</si>
  <si>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</si>
  <si>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</si>
  <si>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</si>
  <si>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</si>
  <si>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</si>
  <si>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</si>
  <si>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</si>
  <si>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</si>
  <si>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</si>
  <si>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</si>
  <si>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</si>
  <si>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</si>
  <si>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</si>
  <si>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</si>
  <si>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</si>
  <si>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</si>
  <si>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</si>
  <si>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</si>
  <si>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</si>
  <si>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</si>
  <si>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</si>
  <si>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</si>
  <si>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</si>
  <si>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</si>
  <si>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</si>
  <si>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</si>
  <si>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</si>
  <si>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</si>
  <si>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</si>
  <si>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</si>
  <si>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</si>
  <si>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</si>
  <si>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</si>
  <si>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</si>
  <si>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</si>
  <si>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</si>
  <si>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</si>
  <si>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</si>
  <si>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</si>
  <si>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</si>
  <si>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</si>
  <si>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</si>
  <si>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</si>
  <si>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</si>
  <si>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</si>
  <si>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</si>
  <si>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</si>
  <si>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</si>
  <si>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</si>
  <si>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</si>
  <si>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</si>
  <si>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</si>
  <si>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</si>
  <si>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</si>
  <si>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</si>
  <si>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</si>
  <si>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</si>
  <si>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</si>
  <si>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</si>
  <si>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</si>
  <si>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</si>
  <si>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</si>
  <si>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</si>
  <si>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</si>
  <si>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</si>
  <si>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</si>
  <si>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</si>
  <si>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</si>
  <si>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</si>
  <si>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</si>
  <si>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</si>
  <si>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</si>
  <si>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</si>
  <si>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</si>
  <si>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</si>
  <si>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</si>
  <si>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</si>
  <si>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</si>
  <si>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</si>
  <si>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</si>
  <si>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</si>
  <si>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</si>
  <si>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</si>
  <si>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</si>
  <si>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</si>
  <si>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</si>
  <si>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</si>
  <si>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</si>
  <si>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</si>
  <si>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</si>
  <si>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</si>
  <si>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</si>
  <si>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</si>
  <si>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</si>
  <si>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</si>
  <si>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</si>
  <si>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</si>
  <si>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</si>
  <si>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</si>
  <si>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</si>
  <si>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</si>
  <si>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</si>
  <si>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</si>
  <si>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</si>
  <si>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</si>
  <si>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</si>
  <si>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</si>
  <si>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</si>
  <si>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</si>
  <si>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</si>
  <si>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</si>
  <si>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</si>
  <si>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</si>
  <si>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</si>
  <si>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</si>
  <si>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</si>
  <si>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</si>
  <si>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</si>
  <si>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</si>
  <si>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</si>
  <si>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</si>
  <si>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</si>
  <si>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</si>
  <si>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</si>
  <si>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</si>
  <si>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</si>
  <si>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</si>
  <si>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</si>
  <si>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</si>
  <si>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</si>
  <si>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</si>
  <si>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</si>
  <si>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</si>
  <si>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</si>
  <si>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</si>
  <si>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</si>
  <si>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</si>
  <si>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</si>
  <si>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</si>
  <si>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</si>
  <si>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</si>
  <si>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</si>
  <si>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</si>
  <si>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</si>
  <si>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</si>
  <si>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</si>
  <si>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</si>
  <si>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</si>
  <si>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</si>
  <si>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</si>
  <si>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</si>
  <si>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</si>
  <si>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</si>
  <si>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</si>
  <si>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</si>
  <si>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</si>
  <si>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</si>
  <si>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</si>
  <si>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</si>
  <si>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</si>
  <si>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</si>
  <si>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</si>
  <si>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</si>
  <si>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</si>
  <si>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</si>
  <si>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</si>
  <si>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</si>
  <si>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</si>
  <si>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</si>
  <si>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</si>
  <si>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</si>
  <si>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</si>
  <si>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</si>
  <si>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</si>
  <si>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</si>
  <si>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</si>
  <si>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</si>
  <si>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</si>
  <si>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</si>
  <si>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</si>
  <si>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</si>
  <si>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</si>
  <si>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</si>
  <si>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</si>
  <si>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</si>
  <si>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</si>
  <si>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</si>
  <si>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</si>
  <si>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</si>
  <si>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</si>
  <si>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</si>
  <si>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</si>
  <si>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</si>
  <si>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</si>
  <si>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</si>
  <si>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</si>
  <si>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</si>
  <si>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</si>
  <si>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</si>
  <si>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</si>
  <si>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</si>
  <si>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</si>
  <si>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</si>
  <si>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</si>
  <si>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</si>
  <si>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</si>
  <si>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</si>
  <si>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</si>
  <si>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</si>
  <si>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</si>
  <si>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</si>
  <si>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</si>
  <si>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35005</t>
  </si>
  <si>
    <t>GISTEL</t>
  </si>
  <si>
    <t>Paarden&amp;pony's 200 - 600 kg</t>
  </si>
  <si>
    <t>Paarden&amp;pony's &lt; 200 kg</t>
  </si>
  <si>
    <t>vloeibaar gas (MWh)</t>
  </si>
  <si>
    <t>interne verbrandingsmotor</t>
  </si>
  <si>
    <t>WKK interne verbrandinsgmotor (gas)</t>
  </si>
  <si>
    <t>Infrax West</t>
  </si>
  <si>
    <t>biomassa uit land- of bosbouw</t>
  </si>
  <si>
    <t>niet WKK interne verbrandingsmotor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</si>
</sst>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1543FAC-3818-4DCB-9694-310C722E6D7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106573.42847243964</c:v>
                </c:pt>
                <c:pt idx="1">
                  <c:v>29579.038916374742</c:v>
                </c:pt>
                <c:pt idx="2">
                  <c:v>1059.76</c:v>
                </c:pt>
                <c:pt idx="3">
                  <c:v>11653.52818901204</c:v>
                </c:pt>
                <c:pt idx="4">
                  <c:v>14537.612326343582</c:v>
                </c:pt>
                <c:pt idx="5">
                  <c:v>185032.96203464811</c:v>
                </c:pt>
                <c:pt idx="6">
                  <c:v>1409.4719746619276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106573.42847243964</c:v>
                </c:pt>
                <c:pt idx="1">
                  <c:v>29579.038916374742</c:v>
                </c:pt>
                <c:pt idx="2">
                  <c:v>1059.76</c:v>
                </c:pt>
                <c:pt idx="3">
                  <c:v>11653.52818901204</c:v>
                </c:pt>
                <c:pt idx="4">
                  <c:v>14537.612326343582</c:v>
                </c:pt>
                <c:pt idx="5">
                  <c:v>185032.96203464811</c:v>
                </c:pt>
                <c:pt idx="6">
                  <c:v>1409.4719746619276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18984.93363630649</c:v>
                </c:pt>
                <c:pt idx="2">
                  <c:v>4251.5728766375487</c:v>
                </c:pt>
                <c:pt idx="3">
                  <c:v>64.12672150926376</c:v>
                </c:pt>
                <c:pt idx="4">
                  <c:v>2543.8691584681696</c:v>
                </c:pt>
                <c:pt idx="5">
                  <c:v>2414.4527540342028</c:v>
                </c:pt>
                <c:pt idx="6">
                  <c:v>46454.799956538845</c:v>
                </c:pt>
                <c:pt idx="7">
                  <c:v>354.50038179759957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18984.93363630649</c:v>
                </c:pt>
                <c:pt idx="2">
                  <c:v>4251.5728766375487</c:v>
                </c:pt>
                <c:pt idx="3">
                  <c:v>64.12672150926376</c:v>
                </c:pt>
                <c:pt idx="4">
                  <c:v>2543.8691584681696</c:v>
                </c:pt>
                <c:pt idx="5">
                  <c:v>2414.4527540342028</c:v>
                </c:pt>
                <c:pt idx="6">
                  <c:v>46454.799956538845</c:v>
                </c:pt>
                <c:pt idx="7">
                  <c:v>354.50038179759957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35005</v>
      </c>
      <c r="B6" s="381"/>
      <c r="C6" s="382"/>
    </row>
    <row r="7" spans="1:7" s="379" customFormat="1" ht="15.75" customHeight="1">
      <c r="A7" s="383" t="str">
        <f>txtMunicipality</f>
        <v>GISTEL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6.0510607599139198E-2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6.0510607599139198E-2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4898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3152</v>
      </c>
      <c r="C14" s="322"/>
      <c r="D14" s="322"/>
      <c r="E14" s="322"/>
      <c r="F14" s="322"/>
    </row>
    <row r="15" spans="1:6">
      <c r="A15" s="1261" t="s">
        <v>177</v>
      </c>
      <c r="B15" s="1262">
        <v>36</v>
      </c>
      <c r="C15" s="322"/>
      <c r="D15" s="322"/>
      <c r="E15" s="322"/>
      <c r="F15" s="322"/>
    </row>
    <row r="16" spans="1:6">
      <c r="A16" s="1261" t="s">
        <v>6</v>
      </c>
      <c r="B16" s="1262">
        <v>1594</v>
      </c>
      <c r="C16" s="322"/>
      <c r="D16" s="322"/>
      <c r="E16" s="322"/>
      <c r="F16" s="322"/>
    </row>
    <row r="17" spans="1:6">
      <c r="A17" s="1261" t="s">
        <v>7</v>
      </c>
      <c r="B17" s="1262">
        <v>753</v>
      </c>
      <c r="C17" s="322"/>
      <c r="D17" s="322"/>
      <c r="E17" s="322"/>
      <c r="F17" s="322"/>
    </row>
    <row r="18" spans="1:6">
      <c r="A18" s="1261" t="s">
        <v>8</v>
      </c>
      <c r="B18" s="1262">
        <v>1477</v>
      </c>
      <c r="C18" s="322"/>
      <c r="D18" s="322"/>
      <c r="E18" s="322"/>
      <c r="F18" s="322"/>
    </row>
    <row r="19" spans="1:6">
      <c r="A19" s="1261" t="s">
        <v>9</v>
      </c>
      <c r="B19" s="1262">
        <v>1427</v>
      </c>
      <c r="C19" s="322"/>
      <c r="D19" s="322"/>
      <c r="E19" s="322"/>
      <c r="F19" s="322"/>
    </row>
    <row r="20" spans="1:6">
      <c r="A20" s="1261" t="s">
        <v>10</v>
      </c>
      <c r="B20" s="1262">
        <v>920</v>
      </c>
      <c r="C20" s="322"/>
      <c r="D20" s="322"/>
      <c r="E20" s="322"/>
      <c r="F20" s="322"/>
    </row>
    <row r="21" spans="1:6">
      <c r="A21" s="1261" t="s">
        <v>11</v>
      </c>
      <c r="B21" s="1262">
        <v>9619</v>
      </c>
      <c r="C21" s="322"/>
      <c r="D21" s="322"/>
      <c r="E21" s="322"/>
      <c r="F21" s="322"/>
    </row>
    <row r="22" spans="1:6">
      <c r="A22" s="1261" t="s">
        <v>12</v>
      </c>
      <c r="B22" s="1262">
        <v>17219</v>
      </c>
      <c r="C22" s="322"/>
      <c r="D22" s="322"/>
      <c r="E22" s="322"/>
      <c r="F22" s="322"/>
    </row>
    <row r="23" spans="1:6">
      <c r="A23" s="1261" t="s">
        <v>13</v>
      </c>
      <c r="B23" s="1262">
        <v>185</v>
      </c>
      <c r="C23" s="322"/>
      <c r="D23" s="322"/>
      <c r="E23" s="322"/>
      <c r="F23" s="322"/>
    </row>
    <row r="24" spans="1:6">
      <c r="A24" s="1261" t="s">
        <v>14</v>
      </c>
      <c r="B24" s="1262">
        <v>8</v>
      </c>
      <c r="C24" s="322"/>
      <c r="D24" s="322"/>
      <c r="E24" s="322"/>
      <c r="F24" s="322"/>
    </row>
    <row r="25" spans="1:6">
      <c r="A25" s="1261" t="s">
        <v>15</v>
      </c>
      <c r="B25" s="1262">
        <v>1305</v>
      </c>
      <c r="C25" s="322"/>
      <c r="D25" s="322"/>
      <c r="E25" s="322"/>
      <c r="F25" s="322"/>
    </row>
    <row r="26" spans="1:6">
      <c r="A26" s="1261" t="s">
        <v>16</v>
      </c>
      <c r="B26" s="1262">
        <v>210</v>
      </c>
      <c r="C26" s="322"/>
      <c r="D26" s="322"/>
      <c r="E26" s="322"/>
      <c r="F26" s="322"/>
    </row>
    <row r="27" spans="1:6">
      <c r="A27" s="1261" t="s">
        <v>17</v>
      </c>
      <c r="B27" s="1262">
        <v>0</v>
      </c>
      <c r="C27" s="322"/>
      <c r="D27" s="322"/>
      <c r="E27" s="322"/>
      <c r="F27" s="322"/>
    </row>
    <row r="28" spans="1:6">
      <c r="A28" s="1261" t="s">
        <v>18</v>
      </c>
      <c r="B28" s="1263">
        <v>69870</v>
      </c>
      <c r="C28" s="322"/>
      <c r="D28" s="322"/>
      <c r="E28" s="322"/>
      <c r="F28" s="322"/>
    </row>
    <row r="29" spans="1:6">
      <c r="A29" s="1261" t="s">
        <v>901</v>
      </c>
      <c r="B29" s="1263">
        <v>39</v>
      </c>
      <c r="C29" s="322"/>
      <c r="D29" s="322"/>
      <c r="E29" s="322"/>
      <c r="F29" s="322"/>
    </row>
    <row r="30" spans="1:6">
      <c r="A30" s="1256" t="s">
        <v>902</v>
      </c>
      <c r="B30" s="1264">
        <v>11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8</v>
      </c>
      <c r="F36" s="1262">
        <v>102705</v>
      </c>
    </row>
    <row r="37" spans="1:6">
      <c r="A37" s="1261" t="s">
        <v>24</v>
      </c>
      <c r="B37" s="1261" t="s">
        <v>27</v>
      </c>
      <c r="C37" s="1262">
        <v>0</v>
      </c>
      <c r="D37" s="1262">
        <v>0</v>
      </c>
      <c r="E37" s="1262">
        <v>0</v>
      </c>
      <c r="F37" s="1262">
        <v>0</v>
      </c>
    </row>
    <row r="38" spans="1:6">
      <c r="A38" s="1261" t="s">
        <v>24</v>
      </c>
      <c r="B38" s="1261" t="s">
        <v>28</v>
      </c>
      <c r="C38" s="1262">
        <v>1</v>
      </c>
      <c r="D38" s="1262">
        <v>601217</v>
      </c>
      <c r="E38" s="1262">
        <v>1</v>
      </c>
      <c r="F38" s="1262">
        <v>59530</v>
      </c>
    </row>
    <row r="39" spans="1:6">
      <c r="A39" s="1261" t="s">
        <v>29</v>
      </c>
      <c r="B39" s="1261" t="s">
        <v>30</v>
      </c>
      <c r="C39" s="1262">
        <v>3485</v>
      </c>
      <c r="D39" s="1262">
        <v>58361055</v>
      </c>
      <c r="E39" s="1262">
        <v>4756</v>
      </c>
      <c r="F39" s="1262">
        <v>19050063</v>
      </c>
    </row>
    <row r="40" spans="1:6">
      <c r="A40" s="1261" t="s">
        <v>29</v>
      </c>
      <c r="B40" s="1261" t="s">
        <v>28</v>
      </c>
      <c r="C40" s="1262">
        <v>0</v>
      </c>
      <c r="D40" s="1262">
        <v>0</v>
      </c>
      <c r="E40" s="1262">
        <v>0</v>
      </c>
      <c r="F40" s="1262">
        <v>0</v>
      </c>
    </row>
    <row r="41" spans="1:6">
      <c r="A41" s="1261" t="s">
        <v>31</v>
      </c>
      <c r="B41" s="1261" t="s">
        <v>32</v>
      </c>
      <c r="C41" s="1262">
        <v>45</v>
      </c>
      <c r="D41" s="1262">
        <v>4875076</v>
      </c>
      <c r="E41" s="1262">
        <v>116</v>
      </c>
      <c r="F41" s="1262">
        <v>2294652</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5</v>
      </c>
      <c r="D44" s="1262">
        <v>643147</v>
      </c>
      <c r="E44" s="1262">
        <v>13</v>
      </c>
      <c r="F44" s="1262">
        <v>448475</v>
      </c>
    </row>
    <row r="45" spans="1:6">
      <c r="A45" s="1261" t="s">
        <v>31</v>
      </c>
      <c r="B45" s="1261" t="s">
        <v>36</v>
      </c>
      <c r="C45" s="1262">
        <v>5</v>
      </c>
      <c r="D45" s="1262">
        <v>685322</v>
      </c>
      <c r="E45" s="1262">
        <v>6</v>
      </c>
      <c r="F45" s="1262">
        <v>691398</v>
      </c>
    </row>
    <row r="46" spans="1:6">
      <c r="A46" s="1261" t="s">
        <v>31</v>
      </c>
      <c r="B46" s="1261" t="s">
        <v>37</v>
      </c>
      <c r="C46" s="1262">
        <v>0</v>
      </c>
      <c r="D46" s="1262">
        <v>0</v>
      </c>
      <c r="E46" s="1262">
        <v>0</v>
      </c>
      <c r="F46" s="1262">
        <v>0</v>
      </c>
    </row>
    <row r="47" spans="1:6">
      <c r="A47" s="1261" t="s">
        <v>31</v>
      </c>
      <c r="B47" s="1261" t="s">
        <v>38</v>
      </c>
      <c r="C47" s="1262">
        <v>7</v>
      </c>
      <c r="D47" s="1262">
        <v>418786</v>
      </c>
      <c r="E47" s="1262">
        <v>6</v>
      </c>
      <c r="F47" s="1262">
        <v>239067</v>
      </c>
    </row>
    <row r="48" spans="1:6">
      <c r="A48" s="1261" t="s">
        <v>31</v>
      </c>
      <c r="B48" s="1261" t="s">
        <v>28</v>
      </c>
      <c r="C48" s="1262">
        <v>1</v>
      </c>
      <c r="D48" s="1262">
        <v>21403</v>
      </c>
      <c r="E48" s="1262">
        <v>2</v>
      </c>
      <c r="F48" s="1262">
        <v>491421</v>
      </c>
    </row>
    <row r="49" spans="1:6">
      <c r="A49" s="1261" t="s">
        <v>31</v>
      </c>
      <c r="B49" s="1261" t="s">
        <v>39</v>
      </c>
      <c r="C49" s="1262">
        <v>0</v>
      </c>
      <c r="D49" s="1262">
        <v>0</v>
      </c>
      <c r="E49" s="1262">
        <v>0</v>
      </c>
      <c r="F49" s="1262">
        <v>0</v>
      </c>
    </row>
    <row r="50" spans="1:6">
      <c r="A50" s="1261" t="s">
        <v>31</v>
      </c>
      <c r="B50" s="1261" t="s">
        <v>40</v>
      </c>
      <c r="C50" s="1262">
        <v>10</v>
      </c>
      <c r="D50" s="1262">
        <v>351682</v>
      </c>
      <c r="E50" s="1262">
        <v>13</v>
      </c>
      <c r="F50" s="1262">
        <v>308072</v>
      </c>
    </row>
    <row r="51" spans="1:6">
      <c r="A51" s="1261" t="s">
        <v>41</v>
      </c>
      <c r="B51" s="1261" t="s">
        <v>42</v>
      </c>
      <c r="C51" s="1262">
        <v>10</v>
      </c>
      <c r="D51" s="1262">
        <v>1269862</v>
      </c>
      <c r="E51" s="1262">
        <v>81</v>
      </c>
      <c r="F51" s="1262">
        <v>2395006</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54</v>
      </c>
      <c r="F54" s="1262">
        <v>1059760</v>
      </c>
    </row>
    <row r="55" spans="1:6">
      <c r="A55" s="1261" t="s">
        <v>45</v>
      </c>
      <c r="B55" s="1261" t="s">
        <v>28</v>
      </c>
      <c r="C55" s="1262">
        <v>0</v>
      </c>
      <c r="D55" s="1262">
        <v>0</v>
      </c>
      <c r="E55" s="1262">
        <v>0</v>
      </c>
      <c r="F55" s="1262">
        <v>0</v>
      </c>
    </row>
    <row r="56" spans="1:6">
      <c r="A56" s="1261" t="s">
        <v>47</v>
      </c>
      <c r="B56" s="1261" t="s">
        <v>28</v>
      </c>
      <c r="C56" s="1262">
        <v>72</v>
      </c>
      <c r="D56" s="1262">
        <v>1330920</v>
      </c>
      <c r="E56" s="1262">
        <v>137</v>
      </c>
      <c r="F56" s="1262">
        <v>719132</v>
      </c>
    </row>
    <row r="57" spans="1:6">
      <c r="A57" s="1261" t="s">
        <v>48</v>
      </c>
      <c r="B57" s="1261" t="s">
        <v>49</v>
      </c>
      <c r="C57" s="1262">
        <v>39</v>
      </c>
      <c r="D57" s="1262">
        <v>2789954</v>
      </c>
      <c r="E57" s="1262">
        <v>74</v>
      </c>
      <c r="F57" s="1262">
        <v>2269357</v>
      </c>
    </row>
    <row r="58" spans="1:6">
      <c r="A58" s="1261" t="s">
        <v>48</v>
      </c>
      <c r="B58" s="1261" t="s">
        <v>50</v>
      </c>
      <c r="C58" s="1262">
        <v>13</v>
      </c>
      <c r="D58" s="1262">
        <v>1954921</v>
      </c>
      <c r="E58" s="1262">
        <v>20</v>
      </c>
      <c r="F58" s="1262">
        <v>569765</v>
      </c>
    </row>
    <row r="59" spans="1:6">
      <c r="A59" s="1261" t="s">
        <v>48</v>
      </c>
      <c r="B59" s="1261" t="s">
        <v>51</v>
      </c>
      <c r="C59" s="1262">
        <v>86</v>
      </c>
      <c r="D59" s="1262">
        <v>3539982</v>
      </c>
      <c r="E59" s="1262">
        <v>194</v>
      </c>
      <c r="F59" s="1262">
        <v>4875127</v>
      </c>
    </row>
    <row r="60" spans="1:6">
      <c r="A60" s="1261" t="s">
        <v>48</v>
      </c>
      <c r="B60" s="1261" t="s">
        <v>52</v>
      </c>
      <c r="C60" s="1262">
        <v>30</v>
      </c>
      <c r="D60" s="1262">
        <v>1232451</v>
      </c>
      <c r="E60" s="1262">
        <v>42</v>
      </c>
      <c r="F60" s="1262">
        <v>713210</v>
      </c>
    </row>
    <row r="61" spans="1:6">
      <c r="A61" s="1261" t="s">
        <v>48</v>
      </c>
      <c r="B61" s="1261" t="s">
        <v>53</v>
      </c>
      <c r="C61" s="1262">
        <v>104</v>
      </c>
      <c r="D61" s="1262">
        <v>3803442</v>
      </c>
      <c r="E61" s="1262">
        <v>231</v>
      </c>
      <c r="F61" s="1262">
        <v>2085346</v>
      </c>
    </row>
    <row r="62" spans="1:6">
      <c r="A62" s="1261" t="s">
        <v>48</v>
      </c>
      <c r="B62" s="1261" t="s">
        <v>54</v>
      </c>
      <c r="C62" s="1262">
        <v>8</v>
      </c>
      <c r="D62" s="1262">
        <v>1718750</v>
      </c>
      <c r="E62" s="1262">
        <v>10</v>
      </c>
      <c r="F62" s="1262">
        <v>394835</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4</v>
      </c>
      <c r="D68" s="1264">
        <v>145290</v>
      </c>
      <c r="E68" s="1264">
        <v>13</v>
      </c>
      <c r="F68" s="1264">
        <v>150521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46921207</v>
      </c>
      <c r="E73" s="440"/>
      <c r="F73" s="322"/>
    </row>
    <row r="74" spans="1:6">
      <c r="A74" s="1261" t="s">
        <v>63</v>
      </c>
      <c r="B74" s="1261" t="s">
        <v>670</v>
      </c>
      <c r="C74" s="1274" t="s">
        <v>672</v>
      </c>
      <c r="D74" s="1262">
        <v>5253081.9241362801</v>
      </c>
      <c r="E74" s="440"/>
      <c r="F74" s="322"/>
    </row>
    <row r="75" spans="1:6">
      <c r="A75" s="1261" t="s">
        <v>64</v>
      </c>
      <c r="B75" s="1261" t="s">
        <v>669</v>
      </c>
      <c r="C75" s="1274" t="s">
        <v>673</v>
      </c>
      <c r="D75" s="1262">
        <v>8828511</v>
      </c>
      <c r="E75" s="440"/>
      <c r="F75" s="322"/>
    </row>
    <row r="76" spans="1:6">
      <c r="A76" s="1261" t="s">
        <v>64</v>
      </c>
      <c r="B76" s="1261" t="s">
        <v>670</v>
      </c>
      <c r="C76" s="1274" t="s">
        <v>674</v>
      </c>
      <c r="D76" s="1262">
        <v>699106.92413628031</v>
      </c>
      <c r="E76" s="440"/>
      <c r="F76" s="322"/>
    </row>
    <row r="77" spans="1:6">
      <c r="A77" s="1261" t="s">
        <v>65</v>
      </c>
      <c r="B77" s="1261" t="s">
        <v>669</v>
      </c>
      <c r="C77" s="1274" t="s">
        <v>675</v>
      </c>
      <c r="D77" s="1262">
        <v>100240153</v>
      </c>
      <c r="E77" s="440"/>
      <c r="F77" s="322"/>
    </row>
    <row r="78" spans="1:6">
      <c r="A78" s="1256" t="s">
        <v>65</v>
      </c>
      <c r="B78" s="1256" t="s">
        <v>670</v>
      </c>
      <c r="C78" s="1256" t="s">
        <v>676</v>
      </c>
      <c r="D78" s="1264">
        <v>24541579</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378560.15172743925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24176.78066596196</v>
      </c>
      <c r="C90" s="322"/>
      <c r="D90" s="322"/>
      <c r="E90" s="322"/>
      <c r="F90" s="322"/>
    </row>
    <row r="91" spans="1:6">
      <c r="A91" s="1261" t="s">
        <v>67</v>
      </c>
      <c r="B91" s="1262">
        <v>2507.0557786969403</v>
      </c>
      <c r="C91" s="322"/>
      <c r="D91" s="322"/>
      <c r="E91" s="322"/>
      <c r="F91" s="322"/>
    </row>
    <row r="92" spans="1:6">
      <c r="A92" s="1256" t="s">
        <v>68</v>
      </c>
      <c r="B92" s="1257">
        <v>2511.0960379794233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2525</v>
      </c>
      <c r="C97" s="322"/>
      <c r="D97" s="322"/>
      <c r="E97" s="322"/>
      <c r="F97" s="322"/>
    </row>
    <row r="98" spans="1:6">
      <c r="A98" s="1261" t="s">
        <v>71</v>
      </c>
      <c r="B98" s="1262">
        <v>2</v>
      </c>
      <c r="C98" s="322"/>
      <c r="D98" s="322"/>
      <c r="E98" s="322"/>
      <c r="F98" s="322"/>
    </row>
    <row r="99" spans="1:6">
      <c r="A99" s="1261" t="s">
        <v>72</v>
      </c>
      <c r="B99" s="1262">
        <v>56</v>
      </c>
      <c r="C99" s="322"/>
      <c r="D99" s="322"/>
      <c r="E99" s="322"/>
      <c r="F99" s="322"/>
    </row>
    <row r="100" spans="1:6">
      <c r="A100" s="1261" t="s">
        <v>73</v>
      </c>
      <c r="B100" s="1262">
        <v>449</v>
      </c>
      <c r="C100" s="322"/>
      <c r="D100" s="322"/>
      <c r="E100" s="322"/>
      <c r="F100" s="322"/>
    </row>
    <row r="101" spans="1:6">
      <c r="A101" s="1261" t="s">
        <v>74</v>
      </c>
      <c r="B101" s="1262">
        <v>96</v>
      </c>
      <c r="C101" s="322"/>
      <c r="D101" s="322"/>
      <c r="E101" s="322"/>
      <c r="F101" s="322"/>
    </row>
    <row r="102" spans="1:6">
      <c r="A102" s="1261" t="s">
        <v>75</v>
      </c>
      <c r="B102" s="1262">
        <v>58</v>
      </c>
      <c r="C102" s="322"/>
      <c r="D102" s="322"/>
      <c r="E102" s="322"/>
      <c r="F102" s="322"/>
    </row>
    <row r="103" spans="1:6">
      <c r="A103" s="1261" t="s">
        <v>76</v>
      </c>
      <c r="B103" s="1262">
        <v>129</v>
      </c>
      <c r="C103" s="322"/>
      <c r="D103" s="322"/>
      <c r="E103" s="322"/>
      <c r="F103" s="322"/>
    </row>
    <row r="104" spans="1:6">
      <c r="A104" s="1261" t="s">
        <v>77</v>
      </c>
      <c r="B104" s="1262">
        <v>902</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1</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v>
      </c>
      <c r="C123" s="1262">
        <v>10</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144</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41997.708557758349</v>
      </c>
      <c r="C3" s="43" t="s">
        <v>163</v>
      </c>
      <c r="D3" s="43"/>
      <c r="E3" s="153"/>
      <c r="F3" s="43"/>
      <c r="G3" s="43"/>
      <c r="H3" s="43"/>
      <c r="I3" s="43"/>
      <c r="J3" s="43"/>
      <c r="K3" s="96"/>
    </row>
    <row r="4" spans="1:11">
      <c r="A4" s="349" t="s">
        <v>164</v>
      </c>
      <c r="B4" s="49">
        <f>IF(ISERROR('SEAP template'!B78+'SEAP template'!C78),0,'SEAP template'!B78+'SEAP template'!C78)</f>
        <v>30498.582482638325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6.0510607599139198E-2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1283.7857142857144</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1059.76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1059.76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6.0510607599139198E-2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64.12672150926376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19050.062999999998</v>
      </c>
      <c r="C5" s="17">
        <f>IF(ISERROR('Eigen informatie GS &amp; warmtenet'!B57),0,'Eigen informatie GS &amp; warmtenet'!B57)</f>
        <v>0</v>
      </c>
      <c r="D5" s="30">
        <f>(SUM(HH_hh_gas_kWh,HH_rest_gas_kWh)/1000)*0.902</f>
        <v>52641.671610000005</v>
      </c>
      <c r="E5" s="17">
        <f>B32*B41</f>
        <v>790.8563129632297</v>
      </c>
      <c r="F5" s="17">
        <f>B36*B45</f>
        <v>24949.049356284704</v>
      </c>
      <c r="G5" s="18"/>
      <c r="H5" s="17"/>
      <c r="I5" s="17"/>
      <c r="J5" s="17">
        <f>B35*B44+C35*C44</f>
        <v>581.8108885029776</v>
      </c>
      <c r="K5" s="17"/>
      <c r="L5" s="17"/>
      <c r="M5" s="17"/>
      <c r="N5" s="17">
        <f>B34*B43+C34*C43</f>
        <v>5505.5381926584478</v>
      </c>
      <c r="O5" s="17">
        <f>B52*B53*B54</f>
        <v>242.31666666666666</v>
      </c>
      <c r="P5" s="17">
        <f>B60*B61*B62/1000-B60*B61*B62/1000/B63</f>
        <v>305.06666666666666</v>
      </c>
    </row>
    <row r="6" spans="1:16">
      <c r="A6" s="16" t="s">
        <v>593</v>
      </c>
      <c r="B6" s="717">
        <f>kWh_PV_kleiner_dan_10kW</f>
        <v>2507.0557786969403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21557.118778696939</v>
      </c>
      <c r="C8" s="21">
        <f>C5</f>
        <v>0</v>
      </c>
      <c r="D8" s="21">
        <f>D5</f>
        <v>52641.671610000005</v>
      </c>
      <c r="E8" s="21">
        <f>E5</f>
        <v>790.8563129632297</v>
      </c>
      <c r="F8" s="21">
        <f>F5</f>
        <v>24949.049356284704</v>
      </c>
      <c r="G8" s="21"/>
      <c r="H8" s="21"/>
      <c r="I8" s="21"/>
      <c r="J8" s="21">
        <f>J5</f>
        <v>581.8108885029776</v>
      </c>
      <c r="K8" s="21"/>
      <c r="L8" s="21">
        <f>L5</f>
        <v>0</v>
      </c>
      <c r="M8" s="21">
        <f>M5</f>
        <v>0</v>
      </c>
      <c r="N8" s="21">
        <f>N5</f>
        <v>5505.5381926584478</v>
      </c>
      <c r="O8" s="21">
        <f>O5</f>
        <v>242.31666666666666</v>
      </c>
      <c r="P8" s="21">
        <f>P5</f>
        <v>305.06666666666666</v>
      </c>
    </row>
    <row r="9" spans="1:16">
      <c r="B9" s="19"/>
      <c r="C9" s="19"/>
      <c r="D9" s="253"/>
      <c r="E9" s="19"/>
      <c r="F9" s="19"/>
      <c r="G9" s="19"/>
      <c r="H9" s="19"/>
      <c r="I9" s="19"/>
      <c r="J9" s="19"/>
      <c r="K9" s="19"/>
      <c r="L9" s="19"/>
      <c r="M9" s="19"/>
      <c r="N9" s="19"/>
      <c r="O9" s="19"/>
      <c r="P9" s="19"/>
    </row>
    <row r="10" spans="1:16">
      <c r="A10" s="24" t="s">
        <v>207</v>
      </c>
      <c r="B10" s="25">
        <f ca="1">'EF ele_warmte'!B12</f>
        <v>6.0510607599139198E-2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1304.4343553857652</v>
      </c>
      <c r="C12" s="23">
        <f ca="1">C10*C8</f>
        <v>0</v>
      </c>
      <c r="D12" s="23">
        <f>D8*D10</f>
        <v>10633.617665220001</v>
      </c>
      <c r="E12" s="23">
        <f>E10*E8</f>
        <v>179.52438304265314</v>
      </c>
      <c r="F12" s="23">
        <f>F10*F8</f>
        <v>6661.3961781280168</v>
      </c>
      <c r="G12" s="23"/>
      <c r="H12" s="23"/>
      <c r="I12" s="23"/>
      <c r="J12" s="23">
        <f>J10*J8</f>
        <v>205.96105453005407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4898</v>
      </c>
      <c r="C26" s="36"/>
      <c r="D26" s="224"/>
    </row>
    <row r="27" spans="1:5" s="15" customFormat="1">
      <c r="A27" s="226" t="s">
        <v>696</v>
      </c>
      <c r="B27" s="37">
        <f>SUM(HH_hh_gas_aantal,HH_rest_gas_aantal)</f>
        <v>3485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3310.75</v>
      </c>
      <c r="C31" s="34" t="s">
        <v>104</v>
      </c>
      <c r="D31" s="170"/>
    </row>
    <row r="32" spans="1:5">
      <c r="A32" s="167" t="s">
        <v>72</v>
      </c>
      <c r="B32" s="33">
        <f>IF((B21*($B$26-($B$27-0.05*$B$27)-$B$60))&lt;0,0,B21*($B$26-($B$27-0.05*$B$27)-$B$60))</f>
        <v>9.9070776314413891</v>
      </c>
      <c r="C32" s="34" t="s">
        <v>104</v>
      </c>
      <c r="D32" s="170"/>
    </row>
    <row r="33" spans="1:6">
      <c r="A33" s="167" t="s">
        <v>73</v>
      </c>
      <c r="B33" s="33">
        <f>IF((B22*($B$26-($B$27-0.05*$B$27)-$B$60))&lt;0,0,B22*($B$26-($B$27-0.05*$B$27)-$B$60))</f>
        <v>345.00043271136099</v>
      </c>
      <c r="C33" s="34" t="s">
        <v>104</v>
      </c>
      <c r="D33" s="170"/>
    </row>
    <row r="34" spans="1:6">
      <c r="A34" s="167" t="s">
        <v>74</v>
      </c>
      <c r="B34" s="33">
        <f>IF((B24*($B$26-($B$27-0.05*$B$27)-$B$60))&lt;0,0,B24*($B$26-($B$27-0.05*$B$27)-$B$60))</f>
        <v>68.481059636930539</v>
      </c>
      <c r="C34" s="33">
        <f>B26*C24</f>
        <v>1002.129244515196</v>
      </c>
      <c r="D34" s="229"/>
    </row>
    <row r="35" spans="1:6">
      <c r="A35" s="167" t="s">
        <v>76</v>
      </c>
      <c r="B35" s="33">
        <f>IF((B19*($B$26-($B$27-0.05*$B$27)-$B$60))&lt;0,0,B19*($B$26-($B$27-0.05*$B$27)-$B$60))</f>
        <v>33.456892121633857</v>
      </c>
      <c r="C35" s="33">
        <f>B35/2</f>
        <v>16.728446060816928</v>
      </c>
      <c r="D35" s="229"/>
    </row>
    <row r="36" spans="1:6">
      <c r="A36" s="167" t="s">
        <v>77</v>
      </c>
      <c r="B36" s="33">
        <f>IF((B18*($B$26-($B$27-0.05*$B$27)-$B$60))&lt;0,0,B18*($B$26-($B$27-0.05*$B$27)-$B$60))</f>
        <v>1114.4045378986336</v>
      </c>
      <c r="C36" s="34" t="s">
        <v>104</v>
      </c>
      <c r="D36" s="170"/>
    </row>
    <row r="37" spans="1:6">
      <c r="A37" s="167" t="s">
        <v>78</v>
      </c>
      <c r="B37" s="33">
        <f>B60</f>
        <v>16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10907.64</v>
      </c>
      <c r="C5" s="17">
        <f>IF(ISERROR('Eigen informatie GS &amp; warmtenet'!B58),0,'Eigen informatie GS &amp; warmtenet'!B58)</f>
        <v>0</v>
      </c>
      <c r="D5" s="30">
        <f>SUM(D6:D12)</f>
        <v>13565.629000000001</v>
      </c>
      <c r="E5" s="17">
        <f>SUM(E6:E12)</f>
        <v>211.19984582543964</v>
      </c>
      <c r="F5" s="17">
        <f>SUM(F6:F12)</f>
        <v>2815.0148324540651</v>
      </c>
      <c r="G5" s="18"/>
      <c r="H5" s="17"/>
      <c r="I5" s="17"/>
      <c r="J5" s="17">
        <f>SUM(J6:J12)</f>
        <v>0</v>
      </c>
      <c r="K5" s="17"/>
      <c r="L5" s="17"/>
      <c r="M5" s="17"/>
      <c r="N5" s="17">
        <f>SUM(N6:N12)</f>
        <v>989.21789691028357</v>
      </c>
      <c r="O5" s="17">
        <f>B38*B39*B40</f>
        <v>3.1266666666666669</v>
      </c>
      <c r="P5" s="17">
        <f>B46*B47*B48/1000-B46*B47*B48/1000/B49</f>
        <v>0</v>
      </c>
      <c r="R5" s="32"/>
    </row>
    <row r="6" spans="1:18">
      <c r="A6" s="32" t="s">
        <v>53</v>
      </c>
      <c r="B6" s="37">
        <f>B26</f>
        <v>2085.346</v>
      </c>
      <c r="C6" s="33"/>
      <c r="D6" s="37">
        <f>IF(ISERROR(TER_kantoor_gas_kWh/1000),0,TER_kantoor_gas_kWh/1000)*0.902</f>
        <v>3430.7046840000003</v>
      </c>
      <c r="E6" s="33">
        <f>$C$26*'E Balans VL '!I12/100/3.6*1000000</f>
        <v>2.9244871973114112E-2</v>
      </c>
      <c r="F6" s="33">
        <f>$C$26*('E Balans VL '!L12+'E Balans VL '!N12)/100/3.6*1000000</f>
        <v>289.85967215370368</v>
      </c>
      <c r="G6" s="34"/>
      <c r="H6" s="33"/>
      <c r="I6" s="33"/>
      <c r="J6" s="33">
        <f>$C$26*('E Balans VL '!D12+'E Balans VL '!E12)/100/3.6*1000000</f>
        <v>0</v>
      </c>
      <c r="K6" s="33"/>
      <c r="L6" s="33"/>
      <c r="M6" s="33"/>
      <c r="N6" s="33">
        <f>$C$26*'E Balans VL '!Y12/100/3.6*1000000</f>
        <v>25.809874467197901</v>
      </c>
      <c r="O6" s="33"/>
      <c r="P6" s="33"/>
      <c r="R6" s="32"/>
    </row>
    <row r="7" spans="1:18">
      <c r="A7" s="32" t="s">
        <v>52</v>
      </c>
      <c r="B7" s="37">
        <f t="shared" ref="B7:B12" si="0">B27</f>
        <v>713.21</v>
      </c>
      <c r="C7" s="33"/>
      <c r="D7" s="37">
        <f>IF(ISERROR(TER_horeca_gas_kWh/1000),0,TER_horeca_gas_kWh/1000)*0.902</f>
        <v>1111.6708020000001</v>
      </c>
      <c r="E7" s="33">
        <f>$C$27*'E Balans VL '!I9/100/3.6*1000000</f>
        <v>10.180530702684319</v>
      </c>
      <c r="F7" s="33">
        <f>$C$27*('E Balans VL '!L9+'E Balans VL '!N9)/100/3.6*1000000</f>
        <v>110.87547672424741</v>
      </c>
      <c r="G7" s="34"/>
      <c r="H7" s="33"/>
      <c r="I7" s="33"/>
      <c r="J7" s="33">
        <f>$C$27*('E Balans VL '!D9+'E Balans VL '!E9)/100/3.6*1000000</f>
        <v>0</v>
      </c>
      <c r="K7" s="33"/>
      <c r="L7" s="33"/>
      <c r="M7" s="33"/>
      <c r="N7" s="33">
        <f>$C$27*'E Balans VL '!Y9/100/3.6*1000000</f>
        <v>0.18378299523647648</v>
      </c>
      <c r="O7" s="33"/>
      <c r="P7" s="33"/>
      <c r="R7" s="32"/>
    </row>
    <row r="8" spans="1:18">
      <c r="A8" s="6" t="s">
        <v>51</v>
      </c>
      <c r="B8" s="37">
        <f t="shared" si="0"/>
        <v>4875.1270000000004</v>
      </c>
      <c r="C8" s="33"/>
      <c r="D8" s="37">
        <f>IF(ISERROR(TER_handel_gas_kWh/1000),0,TER_handel_gas_kWh/1000)*0.902</f>
        <v>3193.063764</v>
      </c>
      <c r="E8" s="33">
        <f>$C$28*'E Balans VL '!I13/100/3.6*1000000</f>
        <v>131.94644371217908</v>
      </c>
      <c r="F8" s="33">
        <f>$C$28*('E Balans VL '!L13+'E Balans VL '!N13)/100/3.6*1000000</f>
        <v>757.01638003609378</v>
      </c>
      <c r="G8" s="34"/>
      <c r="H8" s="33"/>
      <c r="I8" s="33"/>
      <c r="J8" s="33">
        <f>$C$28*('E Balans VL '!D13+'E Balans VL '!E13)/100/3.6*1000000</f>
        <v>0</v>
      </c>
      <c r="K8" s="33"/>
      <c r="L8" s="33"/>
      <c r="M8" s="33"/>
      <c r="N8" s="33">
        <f>$C$28*'E Balans VL '!Y13/100/3.6*1000000</f>
        <v>39.501591272788929</v>
      </c>
      <c r="O8" s="33"/>
      <c r="P8" s="33"/>
      <c r="R8" s="32"/>
    </row>
    <row r="9" spans="1:18">
      <c r="A9" s="32" t="s">
        <v>50</v>
      </c>
      <c r="B9" s="37">
        <f t="shared" si="0"/>
        <v>569.76499999999999</v>
      </c>
      <c r="C9" s="33"/>
      <c r="D9" s="37">
        <f>IF(ISERROR(TER_gezond_gas_kWh/1000),0,TER_gezond_gas_kWh/1000)*0.902</f>
        <v>1763.3387420000001</v>
      </c>
      <c r="E9" s="33">
        <f>$C$29*'E Balans VL '!I10/100/3.6*1000000</f>
        <v>3.5553039821815437E-2</v>
      </c>
      <c r="F9" s="33">
        <f>$C$29*('E Balans VL '!L10+'E Balans VL '!N10)/100/3.6*1000000</f>
        <v>73.761504182711562</v>
      </c>
      <c r="G9" s="34"/>
      <c r="H9" s="33"/>
      <c r="I9" s="33"/>
      <c r="J9" s="33">
        <f>$C$29*('E Balans VL '!D10+'E Balans VL '!E10)/100/3.6*1000000</f>
        <v>0</v>
      </c>
      <c r="K9" s="33"/>
      <c r="L9" s="33"/>
      <c r="M9" s="33"/>
      <c r="N9" s="33">
        <f>$C$29*'E Balans VL '!Y10/100/3.6*1000000</f>
        <v>4.6715162280746716</v>
      </c>
      <c r="O9" s="33"/>
      <c r="P9" s="33"/>
      <c r="R9" s="32"/>
    </row>
    <row r="10" spans="1:18">
      <c r="A10" s="32" t="s">
        <v>49</v>
      </c>
      <c r="B10" s="37">
        <f t="shared" si="0"/>
        <v>2269.357</v>
      </c>
      <c r="C10" s="33"/>
      <c r="D10" s="37">
        <f>IF(ISERROR(TER_ander_gas_kWh/1000),0,TER_ander_gas_kWh/1000)*0.902</f>
        <v>2516.5385080000001</v>
      </c>
      <c r="E10" s="33">
        <f>$C$30*'E Balans VL '!I14/100/3.6*1000000</f>
        <v>68.510828360554072</v>
      </c>
      <c r="F10" s="33">
        <f>$C$30*('E Balans VL '!L14+'E Balans VL '!N14)/100/3.6*1000000</f>
        <v>1436.8385534118602</v>
      </c>
      <c r="G10" s="34"/>
      <c r="H10" s="33"/>
      <c r="I10" s="33"/>
      <c r="J10" s="33">
        <f>$C$30*('E Balans VL '!D14+'E Balans VL '!E14)/100/3.6*1000000</f>
        <v>0</v>
      </c>
      <c r="K10" s="33"/>
      <c r="L10" s="33"/>
      <c r="M10" s="33"/>
      <c r="N10" s="33">
        <f>$C$30*'E Balans VL '!Y14/100/3.6*1000000</f>
        <v>918.55114615115758</v>
      </c>
      <c r="O10" s="33"/>
      <c r="P10" s="33"/>
      <c r="R10" s="32"/>
    </row>
    <row r="11" spans="1:18">
      <c r="A11" s="32" t="s">
        <v>54</v>
      </c>
      <c r="B11" s="37">
        <f t="shared" si="0"/>
        <v>394.83499999999998</v>
      </c>
      <c r="C11" s="33"/>
      <c r="D11" s="37">
        <f>IF(ISERROR(TER_onderwijs_gas_kWh/1000),0,TER_onderwijs_gas_kWh/1000)*0.902</f>
        <v>1550.3125</v>
      </c>
      <c r="E11" s="33">
        <f>$C$31*'E Balans VL '!I11/100/3.6*1000000</f>
        <v>0.49724513822724531</v>
      </c>
      <c r="F11" s="33">
        <f>$C$31*('E Balans VL '!L11+'E Balans VL '!N11)/100/3.6*1000000</f>
        <v>146.66324594544872</v>
      </c>
      <c r="G11" s="34"/>
      <c r="H11" s="33"/>
      <c r="I11" s="33"/>
      <c r="J11" s="33">
        <f>$C$31*('E Balans VL '!D11+'E Balans VL '!E11)/100/3.6*1000000</f>
        <v>0</v>
      </c>
      <c r="K11" s="33"/>
      <c r="L11" s="33"/>
      <c r="M11" s="33"/>
      <c r="N11" s="33">
        <f>$C$31*'E Balans VL '!Y11/100/3.6*1000000</f>
        <v>0.49998579582804759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energieproductie'!N39+'lokale energieproductie'!N32</f>
        <v>855</v>
      </c>
      <c r="C13" s="242">
        <f ca="1">'lokale energieproductie'!O39+'lokale energieproductie'!O32</f>
        <v>1221.4285714285716</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-2442.8571428571431</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11762.64</v>
      </c>
      <c r="C16" s="21">
        <f t="shared" ca="1" si="1"/>
        <v>1221.4285714285716</v>
      </c>
      <c r="D16" s="21">
        <f t="shared" ca="1" si="1"/>
        <v>13565.629000000001</v>
      </c>
      <c r="E16" s="21">
        <f t="shared" si="1"/>
        <v>211.19984582543964</v>
      </c>
      <c r="F16" s="21">
        <f t="shared" ca="1" si="1"/>
        <v>2815.0148324540651</v>
      </c>
      <c r="G16" s="21">
        <f t="shared" si="1"/>
        <v>0</v>
      </c>
      <c r="H16" s="21">
        <f t="shared" si="1"/>
        <v>0</v>
      </c>
      <c r="I16" s="21">
        <f t="shared" si="1"/>
        <v>0</v>
      </c>
      <c r="J16" s="21">
        <f t="shared" si="1"/>
        <v>0</v>
      </c>
      <c r="K16" s="21">
        <f t="shared" si="1"/>
        <v>0</v>
      </c>
      <c r="L16" s="21">
        <f t="shared" ca="1" si="1"/>
        <v>0</v>
      </c>
      <c r="M16" s="21">
        <f t="shared" si="1"/>
        <v>0</v>
      </c>
      <c r="N16" s="21">
        <f t="shared" ca="1" si="1"/>
        <v>0</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6.0510607599139198E-2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711.76449336993869</v>
      </c>
      <c r="C20" s="23">
        <f t="shared" ref="C20:P20" ca="1" si="2">C16*C18</f>
        <v>0</v>
      </c>
      <c r="D20" s="23">
        <f t="shared" ca="1" si="2"/>
        <v>2740.2570580000001</v>
      </c>
      <c r="E20" s="23">
        <f t="shared" si="2"/>
        <v>47.9423650023748</v>
      </c>
      <c r="F20" s="23">
        <f t="shared" ca="1" si="2"/>
        <v>751.6089602652354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2085.346</v>
      </c>
      <c r="C26" s="39">
        <f>IF(ISERROR(B26*3.6/1000000/'E Balans VL '!Z12*100),0,B26*3.6/1000000/'E Balans VL '!Z12*100)</f>
        <v>5.6641904844538959E-2</v>
      </c>
      <c r="D26" s="232" t="s">
        <v>651</v>
      </c>
      <c r="F26" s="6"/>
    </row>
    <row r="27" spans="1:18">
      <c r="A27" s="227" t="s">
        <v>52</v>
      </c>
      <c r="B27" s="33">
        <f>IF(ISERROR(TER_horeca_ele_kWh/1000),0,TER_horeca_ele_kWh/1000)</f>
        <v>713.21</v>
      </c>
      <c r="C27" s="39">
        <f>IF(ISERROR(B27*3.6/1000000/'E Balans VL '!Z9*100),0,B27*3.6/1000000/'E Balans VL '!Z9*100)</f>
        <v>5.7311978460299548E-2</v>
      </c>
      <c r="D27" s="232" t="s">
        <v>651</v>
      </c>
      <c r="F27" s="6"/>
    </row>
    <row r="28" spans="1:18">
      <c r="A28" s="167" t="s">
        <v>51</v>
      </c>
      <c r="B28" s="33">
        <f>IF(ISERROR(TER_handel_ele_kWh/1000),0,TER_handel_ele_kWh/1000)</f>
        <v>4875.1270000000004</v>
      </c>
      <c r="C28" s="39">
        <f>IF(ISERROR(B28*3.6/1000000/'E Balans VL '!Z13*100),0,B28*3.6/1000000/'E Balans VL '!Z13*100)</f>
        <v>0.14398749944353645</v>
      </c>
      <c r="D28" s="232" t="s">
        <v>651</v>
      </c>
      <c r="F28" s="6"/>
    </row>
    <row r="29" spans="1:18">
      <c r="A29" s="227" t="s">
        <v>50</v>
      </c>
      <c r="B29" s="33">
        <f>IF(ISERROR(TER_gezond_ele_kWh/1000),0,TER_gezond_ele_kWh/1000)</f>
        <v>569.76499999999999</v>
      </c>
      <c r="C29" s="39">
        <f>IF(ISERROR(B29*3.6/1000000/'E Balans VL '!Z10*100),0,B29*3.6/1000000/'E Balans VL '!Z10*100)</f>
        <v>6.5161739843441341E-2</v>
      </c>
      <c r="D29" s="232" t="s">
        <v>651</v>
      </c>
      <c r="F29" s="6"/>
    </row>
    <row r="30" spans="1:18">
      <c r="A30" s="227" t="s">
        <v>49</v>
      </c>
      <c r="B30" s="33">
        <f>IF(ISERROR(TER_ander_ele_kWh/1000),0,TER_ander_ele_kWh/1000)</f>
        <v>2269.357</v>
      </c>
      <c r="C30" s="39">
        <f>IF(ISERROR(B30*3.6/1000000/'E Balans VL '!Z14*100),0,B30*3.6/1000000/'E Balans VL '!Z14*100)</f>
        <v>0.10605178106968269</v>
      </c>
      <c r="D30" s="232" t="s">
        <v>651</v>
      </c>
      <c r="F30" s="6"/>
    </row>
    <row r="31" spans="1:18">
      <c r="A31" s="227" t="s">
        <v>54</v>
      </c>
      <c r="B31" s="33">
        <f>IF(ISERROR(TER_onderwijs_ele_kWh/1000),0,TER_onderwijs_ele_kWh/1000)</f>
        <v>394.83499999999998</v>
      </c>
      <c r="C31" s="39">
        <f>IF(ISERROR(B31*3.6/1000000/'E Balans VL '!Z11*100),0,B31*3.6/1000000/'E Balans VL '!Z11*100)</f>
        <v>0.10426351081369437</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4473.085</v>
      </c>
      <c r="C5" s="17">
        <f>IF(ISERROR('Eigen informatie GS &amp; warmtenet'!B59),0,'Eigen informatie GS &amp; warmtenet'!B59)</f>
        <v>0</v>
      </c>
      <c r="D5" s="30">
        <f>SUM(D6:D15)</f>
        <v>6309.8652320000001</v>
      </c>
      <c r="E5" s="17">
        <f>SUM(E6:E15)</f>
        <v>672.88873910427219</v>
      </c>
      <c r="F5" s="17">
        <f>SUM(F6:F15)</f>
        <v>2669.44677941994</v>
      </c>
      <c r="G5" s="18"/>
      <c r="H5" s="17"/>
      <c r="I5" s="17"/>
      <c r="J5" s="17">
        <f>SUM(J6:J15)</f>
        <v>10.460034168964395</v>
      </c>
      <c r="K5" s="17"/>
      <c r="L5" s="17"/>
      <c r="M5" s="17"/>
      <c r="N5" s="17">
        <f>SUM(N6:N15)</f>
        <v>401.86654165040875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448.47500000000002</v>
      </c>
      <c r="C8" s="33"/>
      <c r="D8" s="37">
        <f>IF( ISERROR(IND_metaal_Gas_kWH/1000),0,IND_metaal_Gas_kWH/1000)*0.902</f>
        <v>580.11859400000003</v>
      </c>
      <c r="E8" s="33">
        <f>C30*'E Balans VL '!I18/100/3.6*1000000</f>
        <v>11.223759621127106</v>
      </c>
      <c r="F8" s="33">
        <f>C30*'E Balans VL '!L18/100/3.6*1000000+C30*'E Balans VL '!N18/100/3.6*1000000</f>
        <v>140.55429582937703</v>
      </c>
      <c r="G8" s="34"/>
      <c r="H8" s="33"/>
      <c r="I8" s="33"/>
      <c r="J8" s="40">
        <f>C30*'E Balans VL '!D18/100/3.6*1000000+C30*'E Balans VL '!E18/100/3.6*1000000</f>
        <v>0</v>
      </c>
      <c r="K8" s="33"/>
      <c r="L8" s="33"/>
      <c r="M8" s="33"/>
      <c r="N8" s="33">
        <f>C30*'E Balans VL '!Y18/100/3.6*1000000</f>
        <v>11.26685589411735</v>
      </c>
      <c r="O8" s="33"/>
      <c r="P8" s="33"/>
      <c r="R8" s="32"/>
    </row>
    <row r="9" spans="1:18">
      <c r="A9" s="6" t="s">
        <v>32</v>
      </c>
      <c r="B9" s="37">
        <f t="shared" si="0"/>
        <v>2294.652</v>
      </c>
      <c r="C9" s="33"/>
      <c r="D9" s="37">
        <f>IF( ISERROR(IND_andere_gas_kWh/1000),0,IND_andere_gas_kWh/1000)*0.902</f>
        <v>4397.3185519999997</v>
      </c>
      <c r="E9" s="33">
        <f>C31*'E Balans VL '!I19/100/3.6*1000000</f>
        <v>630.93518472065057</v>
      </c>
      <c r="F9" s="33">
        <f>C31*'E Balans VL '!L19/100/3.6*1000000+C31*'E Balans VL '!N19/100/3.6*1000000</f>
        <v>1808.5850741167901</v>
      </c>
      <c r="G9" s="34"/>
      <c r="H9" s="33"/>
      <c r="I9" s="33"/>
      <c r="J9" s="40">
        <f>C31*'E Balans VL '!D19/100/3.6*1000000+C31*'E Balans VL '!E19/100/3.6*1000000</f>
        <v>0</v>
      </c>
      <c r="K9" s="33"/>
      <c r="L9" s="33"/>
      <c r="M9" s="33"/>
      <c r="N9" s="33">
        <f>C31*'E Balans VL '!Y19/100/3.6*1000000</f>
        <v>184.85861110751659</v>
      </c>
      <c r="O9" s="33"/>
      <c r="P9" s="33"/>
      <c r="R9" s="32"/>
    </row>
    <row r="10" spans="1:18">
      <c r="A10" s="6" t="s">
        <v>40</v>
      </c>
      <c r="B10" s="37">
        <f t="shared" si="0"/>
        <v>308.072</v>
      </c>
      <c r="C10" s="33"/>
      <c r="D10" s="37">
        <f>IF( ISERROR(IND_voed_gas_kWh/1000),0,IND_voed_gas_kWh/1000)*0.902</f>
        <v>317.21716400000003</v>
      </c>
      <c r="E10" s="33">
        <f>C32*'E Balans VL '!I20/100/3.6*1000000</f>
        <v>3.1406243221667864</v>
      </c>
      <c r="F10" s="33">
        <f>C32*'E Balans VL '!L20/100/3.6*1000000+C32*'E Balans VL '!N20/100/3.6*1000000</f>
        <v>581.94608119563634</v>
      </c>
      <c r="G10" s="34"/>
      <c r="H10" s="33"/>
      <c r="I10" s="33"/>
      <c r="J10" s="40">
        <f>C32*'E Balans VL '!D20/100/3.6*1000000+C32*'E Balans VL '!E20/100/3.6*1000000</f>
        <v>7.3731709761476907</v>
      </c>
      <c r="K10" s="33"/>
      <c r="L10" s="33"/>
      <c r="M10" s="33"/>
      <c r="N10" s="33">
        <f>C32*'E Balans VL '!Y20/100/3.6*1000000</f>
        <v>162.38942954303619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691.39800000000002</v>
      </c>
      <c r="C12" s="33"/>
      <c r="D12" s="37">
        <f>IF( ISERROR(IND_min_gas_kWh/1000),0,IND_min_gas_kWh/1000)*0.902</f>
        <v>618.16044399999998</v>
      </c>
      <c r="E12" s="33">
        <f>C34*'E Balans VL '!I22/100/3.6*1000000</f>
        <v>2.0939317860869191</v>
      </c>
      <c r="F12" s="33">
        <f>C34*'E Balans VL '!L22/100/3.6*1000000+C34*'E Balans VL '!N22/100/3.6*1000000</f>
        <v>21.606781919823526</v>
      </c>
      <c r="G12" s="34"/>
      <c r="H12" s="33"/>
      <c r="I12" s="33"/>
      <c r="J12" s="40">
        <f>C34*'E Balans VL '!D22/100/3.6*1000000+C34*'E Balans VL '!E22/100/3.6*1000000</f>
        <v>1.0251897515528021</v>
      </c>
      <c r="K12" s="33"/>
      <c r="L12" s="33"/>
      <c r="M12" s="33"/>
      <c r="N12" s="33">
        <f>C34*'E Balans VL '!Y22/100/3.6*1000000</f>
        <v>0</v>
      </c>
      <c r="O12" s="33"/>
      <c r="P12" s="33"/>
      <c r="R12" s="32"/>
    </row>
    <row r="13" spans="1:18">
      <c r="A13" s="6" t="s">
        <v>38</v>
      </c>
      <c r="B13" s="37">
        <f t="shared" si="0"/>
        <v>239.06700000000001</v>
      </c>
      <c r="C13" s="33"/>
      <c r="D13" s="37">
        <f>IF( ISERROR(IND_papier_gas_kWh/1000),0,IND_papier_gas_kWh/1000)*0.902</f>
        <v>377.74497200000002</v>
      </c>
      <c r="E13" s="33">
        <f>C35*'E Balans VL '!I23/100/3.6*1000000</f>
        <v>0.49512389363393672</v>
      </c>
      <c r="F13" s="33">
        <f>C35*'E Balans VL '!L23/100/3.6*1000000+C35*'E Balans VL '!N23/100/3.6*1000000</f>
        <v>4.7412111289125969</v>
      </c>
      <c r="G13" s="34"/>
      <c r="H13" s="33"/>
      <c r="I13" s="33"/>
      <c r="J13" s="40">
        <f>C35*'E Balans VL '!D23/100/3.6*1000000+C35*'E Balans VL '!E23/100/3.6*1000000</f>
        <v>0</v>
      </c>
      <c r="K13" s="33"/>
      <c r="L13" s="33"/>
      <c r="M13" s="33"/>
      <c r="N13" s="33">
        <f>C35*'E Balans VL '!Y23/100/3.6*1000000</f>
        <v>16.580504825356694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491.42099999999999</v>
      </c>
      <c r="C15" s="33"/>
      <c r="D15" s="37">
        <f>IF( ISERROR(IND_rest_gas_kWh/1000),0,IND_rest_gas_kWh/1000)*0.902</f>
        <v>19.305505999999998</v>
      </c>
      <c r="E15" s="33">
        <f>C37*'E Balans VL '!I15/100/3.6*1000000</f>
        <v>25.000114760606824</v>
      </c>
      <c r="F15" s="33">
        <f>C37*'E Balans VL '!L15/100/3.6*1000000+C37*'E Balans VL '!N15/100/3.6*1000000</f>
        <v>112.01333522940051</v>
      </c>
      <c r="G15" s="34"/>
      <c r="H15" s="33"/>
      <c r="I15" s="33"/>
      <c r="J15" s="40">
        <f>C37*'E Balans VL '!D15/100/3.6*1000000+C37*'E Balans VL '!E15/100/3.6*1000000</f>
        <v>2.0616734412639026</v>
      </c>
      <c r="K15" s="33"/>
      <c r="L15" s="33"/>
      <c r="M15" s="33"/>
      <c r="N15" s="33">
        <f>C37*'E Balans VL '!Y15/100/3.6*1000000</f>
        <v>26.7711402803819</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4473.085</v>
      </c>
      <c r="C18" s="21">
        <f>C5+C16</f>
        <v>0</v>
      </c>
      <c r="D18" s="21">
        <f>MAX((D5+D16),0)</f>
        <v>6309.8652320000001</v>
      </c>
      <c r="E18" s="21">
        <f>MAX((E5+E16),0)</f>
        <v>672.88873910427219</v>
      </c>
      <c r="F18" s="21">
        <f>MAX((F5+F16),0)</f>
        <v>2669.44677941994</v>
      </c>
      <c r="G18" s="21"/>
      <c r="H18" s="21"/>
      <c r="I18" s="21"/>
      <c r="J18" s="21">
        <f>MAX((J5+J16),0)</f>
        <v>10.460034168964395</v>
      </c>
      <c r="K18" s="21"/>
      <c r="L18" s="21">
        <f>MAX((L5+L16),0)</f>
        <v>0</v>
      </c>
      <c r="M18" s="21"/>
      <c r="N18" s="21">
        <f>MAX((N5+N16),0)</f>
        <v>401.86654165040875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6.0510607599139198E-2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270.66909119259554</v>
      </c>
      <c r="C22" s="23">
        <f ca="1">C18*C20</f>
        <v>0</v>
      </c>
      <c r="D22" s="23">
        <f>D18*D20</f>
        <v>1274.5927768640001</v>
      </c>
      <c r="E22" s="23">
        <f>E18*E20</f>
        <v>152.7457437766698</v>
      </c>
      <c r="F22" s="23">
        <f>F18*F20</f>
        <v>712.74229010512397</v>
      </c>
      <c r="G22" s="23"/>
      <c r="H22" s="23"/>
      <c r="I22" s="23"/>
      <c r="J22" s="23">
        <f>J18*J20</f>
        <v>3.7028520958133955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448.47500000000002</v>
      </c>
      <c r="C30" s="39">
        <f>IF(ISERROR(B30*3.6/1000000/'E Balans VL '!Z18*100),0,B30*3.6/1000000/'E Balans VL '!Z18*100)</f>
        <v>6.2771554405516461E-2</v>
      </c>
      <c r="D30" s="232" t="s">
        <v>651</v>
      </c>
    </row>
    <row r="31" spans="1:18">
      <c r="A31" s="6" t="s">
        <v>32</v>
      </c>
      <c r="B31" s="37">
        <f>IF( ISERROR(IND_ander_ele_kWh/1000),0,IND_ander_ele_kWh/1000)</f>
        <v>2294.652</v>
      </c>
      <c r="C31" s="39">
        <f>IF(ISERROR(B31*3.6/1000000/'E Balans VL '!Z19*100),0,B31*3.6/1000000/'E Balans VL '!Z19*100)</f>
        <v>0.10043654579455906</v>
      </c>
      <c r="D31" s="232" t="s">
        <v>651</v>
      </c>
    </row>
    <row r="32" spans="1:18">
      <c r="A32" s="167" t="s">
        <v>40</v>
      </c>
      <c r="B32" s="37">
        <f>IF( ISERROR(IND_voed_ele_kWh/1000),0,IND_voed_ele_kWh/1000)</f>
        <v>308.072</v>
      </c>
      <c r="C32" s="39">
        <f>IF(ISERROR(B32*3.6/1000000/'E Balans VL '!Z20*100),0,B32*3.6/1000000/'E Balans VL '!Z20*100)</f>
        <v>7.6268396633507624E-2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691.39800000000002</v>
      </c>
      <c r="C34" s="39">
        <f>IF(ISERROR(B34*3.6/1000000/'E Balans VL '!Z22*100),0,B34*3.6/1000000/'E Balans VL '!Z22*100)</f>
        <v>1.9619054487759791E-2</v>
      </c>
      <c r="D34" s="232" t="s">
        <v>651</v>
      </c>
    </row>
    <row r="35" spans="1:5">
      <c r="A35" s="167" t="s">
        <v>38</v>
      </c>
      <c r="B35" s="37">
        <f>IF( ISERROR(IND_papier_ele_kWh/1000),0,IND_papier_ele_kWh/1000)</f>
        <v>239.06700000000001</v>
      </c>
      <c r="C35" s="39">
        <f>IF(ISERROR(B35*3.6/1000000/'E Balans VL '!Z22*100),0,B35*3.6/1000000/'E Balans VL '!Z22*100)</f>
        <v>6.7837461190591681E-3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491.42099999999999</v>
      </c>
      <c r="C37" s="39">
        <f>IF(ISERROR(B37*3.6/1000000/'E Balans VL '!Z15*100),0,B37*3.6/1000000/'E Balans VL '!Z15*100)</f>
        <v>3.6438025801645126E-3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2395.0059999999999</v>
      </c>
      <c r="C5" s="17">
        <f>'Eigen informatie GS &amp; warmtenet'!B60</f>
        <v>0</v>
      </c>
      <c r="D5" s="30">
        <f>IF(ISERROR(SUM(LB_lb_gas_kWh,LB_rest_gas_kWh)/1000),0,SUM(LB_lb_gas_kWh,LB_rest_gas_kWh)/1000)*0.902</f>
        <v>1145.415524</v>
      </c>
      <c r="E5" s="17">
        <f>B17*'E Balans VL '!I25/3.6*1000000/100</f>
        <v>51.357405514190305</v>
      </c>
      <c r="F5" s="17">
        <f>B17*('E Balans VL '!L25/3.6*1000000+'E Balans VL '!N25/3.6*1000000)/100</f>
        <v>7768.6320228269733</v>
      </c>
      <c r="G5" s="18"/>
      <c r="H5" s="17"/>
      <c r="I5" s="17"/>
      <c r="J5" s="17">
        <f>('E Balans VL '!D25+'E Balans VL '!E25)/3.6*1000000*landbouw!B17/100</f>
        <v>230.76009381373532</v>
      </c>
      <c r="K5" s="17"/>
      <c r="L5" s="17">
        <f>L6*(-1)</f>
        <v>1012.5</v>
      </c>
      <c r="M5" s="17"/>
      <c r="N5" s="17">
        <f>N6*(-1)</f>
        <v>124.71428571428569</v>
      </c>
      <c r="O5" s="17"/>
      <c r="P5" s="17"/>
      <c r="R5" s="32"/>
    </row>
    <row r="6" spans="1:18">
      <c r="A6" s="16" t="s">
        <v>480</v>
      </c>
      <c r="B6" s="17" t="s">
        <v>204</v>
      </c>
      <c r="C6" s="17">
        <f>'lokale energieproductie'!O40+'lokale energieproductie'!O33</f>
        <v>62.357142857142847</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-1012.5</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2395.0059999999999</v>
      </c>
      <c r="C8" s="21">
        <f>C5+C6</f>
        <v>62.357142857142847</v>
      </c>
      <c r="D8" s="21">
        <f>MAX((D5+D6),0)</f>
        <v>1145.415524</v>
      </c>
      <c r="E8" s="21">
        <f>MAX((E5+E6),0)</f>
        <v>51.357405514190305</v>
      </c>
      <c r="F8" s="21">
        <f>MAX((F5+F6),0)</f>
        <v>7768.6320228269733</v>
      </c>
      <c r="G8" s="21"/>
      <c r="H8" s="21"/>
      <c r="I8" s="21"/>
      <c r="J8" s="21">
        <f>MAX((J5+J6),0)</f>
        <v>230.76009381373532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6.0510607599139198E-2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144.92326826358396</v>
      </c>
      <c r="C12" s="23">
        <f ca="1">C8*C10</f>
        <v>0</v>
      </c>
      <c r="D12" s="23">
        <f>D8*D10</f>
        <v>231.373935848</v>
      </c>
      <c r="E12" s="23">
        <f>E8*E10</f>
        <v>11.658131051721199</v>
      </c>
      <c r="F12" s="23">
        <f>F8*F10</f>
        <v>2074.2247500948019</v>
      </c>
      <c r="G12" s="23"/>
      <c r="H12" s="23"/>
      <c r="I12" s="23"/>
      <c r="J12" s="23">
        <f>J8*J10</f>
        <v>81.689073210062304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0.3405190702950221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444.70742217126497</v>
      </c>
      <c r="C26" s="242">
        <f>B26*'GWP N2O_CH4'!B5</f>
        <v>9338.8558655965644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179.33807162572447</v>
      </c>
      <c r="C27" s="242">
        <f>B27*'GWP N2O_CH4'!B5</f>
        <v>3766.0995041402139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6.5978752998412125</v>
      </c>
      <c r="C28" s="242">
        <f>B28*'GWP N2O_CH4'!B4</f>
        <v>2045.3413429507759</v>
      </c>
      <c r="D28" s="50"/>
    </row>
    <row r="29" spans="1:4">
      <c r="A29" s="41" t="s">
        <v>266</v>
      </c>
      <c r="B29" s="242">
        <f>B34*'ha_N2O bodem landbouw'!B4</f>
        <v>20.865569089201717</v>
      </c>
      <c r="C29" s="242">
        <f>B29*'GWP N2O_CH4'!B4</f>
        <v>6468.3264176525327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4.6797795515013301E-3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8.6285666597438697E-5</v>
      </c>
      <c r="C5" s="428" t="s">
        <v>204</v>
      </c>
      <c r="D5" s="413">
        <f>SUM(D6:D11)</f>
        <v>1.1599493061249835E-4</v>
      </c>
      <c r="E5" s="413">
        <f>SUM(E6:E11)</f>
        <v>1.2924144486083336E-3</v>
      </c>
      <c r="F5" s="426" t="s">
        <v>204</v>
      </c>
      <c r="G5" s="413">
        <f>SUM(G6:G11)</f>
        <v>0.55648275785386581</v>
      </c>
      <c r="H5" s="413">
        <f>SUM(H6:H11)</f>
        <v>7.3631940733441509E-2</v>
      </c>
      <c r="I5" s="428" t="s">
        <v>204</v>
      </c>
      <c r="J5" s="428" t="s">
        <v>204</v>
      </c>
      <c r="K5" s="428" t="s">
        <v>204</v>
      </c>
      <c r="L5" s="428" t="s">
        <v>204</v>
      </c>
      <c r="M5" s="413">
        <f>SUM(M6:M11)</f>
        <v>3.450926969160753E-2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2.2008356711879398E-5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3.3286027689903416E-5</v>
      </c>
      <c r="E6" s="819">
        <f>vkm_GW_PW*SUMIFS(TableVerdeelsleutelVkm[LPG],TableVerdeelsleutelVkm[Voertuigtype],"Lichte voertuigen")*SUMIFS(TableECFTransport[EnergieConsumptieFactor (PJ per km)],TableECFTransport[Index],CONCATENATE($A6,"_LPG_LPG"))</f>
        <v>3.2516419531325815E-4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7.5498684485815357E-2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2.0564411787895073E-2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5.0044722773580803E-3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1.2805038941083262E-6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4.9146011790334503E-2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1.1012401248100598E-6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2.8493791751214464E-3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4.7177142610359402E-6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1.074520831808958E-5</v>
      </c>
      <c r="E8" s="416">
        <f>vkm_NGW_PW*SUMIFS(TableVerdeelsleutelVkm[LPG],TableVerdeelsleutelVkm[Voertuigtype],"Lichte voertuigen")*SUMIFS(TableECFTransport[EnergieConsumptieFactor (PJ per km)],TableECFTransport[Index],CONCATENATE($A8,"_LPG_LPG"))</f>
        <v>9.9821994363115141E-5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2.1603537801189718E-2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6.3976182002960088E-3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1.4476573166523298E-3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1.7041598659282148E-7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8.4034584516586869E-3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1.7690002849003005E-7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4.8721394775022705E-4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5.2126361374675147E-5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7.1963694604505345E-5</v>
      </c>
      <c r="E10" s="416">
        <f>vkm_SW_PW*SUMIFS(TableVerdeelsleutelVkm[LPG],TableVerdeelsleutelVkm[Voertuigtype],"Lichte voertuigen")*SUMIFS(TableECFTransport[EnergieConsumptieFactor (PJ per km)],TableECFTransport[Index],CONCATENATE($A10,"_LPG_LPG"))</f>
        <v>8.6742825893196024E-4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0.18296816571350955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4.6663337180429615E-2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1.2031338793574223E-2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5.9823143691470536E-6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0.21886289961135802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5.2954246675175049E-6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1.2689208181151225E-2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23.96824072151075</v>
      </c>
      <c r="C14" s="21"/>
      <c r="D14" s="21">
        <f t="shared" ref="D14:M14" si="0">((D5)*10^9/3600)+D12</f>
        <v>32.220814059027319</v>
      </c>
      <c r="E14" s="21">
        <f t="shared" si="0"/>
        <v>359.00401350231493</v>
      </c>
      <c r="F14" s="21"/>
      <c r="G14" s="21">
        <f t="shared" si="0"/>
        <v>154578.54384829607</v>
      </c>
      <c r="H14" s="21">
        <f t="shared" si="0"/>
        <v>20453.316870400417</v>
      </c>
      <c r="I14" s="21"/>
      <c r="J14" s="21"/>
      <c r="K14" s="21"/>
      <c r="L14" s="21"/>
      <c r="M14" s="21">
        <f t="shared" si="0"/>
        <v>9585.9082476687581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6.0510607599139198E-2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1.4503328091410459</v>
      </c>
      <c r="C18" s="23"/>
      <c r="D18" s="23">
        <f t="shared" ref="D18:M18" si="1">D14*D16</f>
        <v>6.508604439923519</v>
      </c>
      <c r="E18" s="23">
        <f t="shared" si="1"/>
        <v>81.493911065025486</v>
      </c>
      <c r="F18" s="23"/>
      <c r="G18" s="23">
        <f t="shared" si="1"/>
        <v>41272.471207495051</v>
      </c>
      <c r="H18" s="23">
        <f t="shared" si="1"/>
        <v>5092.875900729704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2.5194738023653502E-5</v>
      </c>
      <c r="C50" s="311">
        <f t="shared" ref="C50:P50" si="2">SUM(C51:C52)</f>
        <v>0</v>
      </c>
      <c r="D50" s="311">
        <f t="shared" si="2"/>
        <v>0</v>
      </c>
      <c r="E50" s="311">
        <f t="shared" si="2"/>
        <v>0</v>
      </c>
      <c r="F50" s="311">
        <f t="shared" si="2"/>
        <v>0</v>
      </c>
      <c r="G50" s="311">
        <f t="shared" si="2"/>
        <v>4.7740705077350034E-3</v>
      </c>
      <c r="H50" s="311">
        <f t="shared" si="2"/>
        <v>0</v>
      </c>
      <c r="I50" s="311">
        <f t="shared" si="2"/>
        <v>0</v>
      </c>
      <c r="J50" s="311">
        <f t="shared" si="2"/>
        <v>0</v>
      </c>
      <c r="K50" s="311">
        <f t="shared" si="2"/>
        <v>0</v>
      </c>
      <c r="L50" s="311">
        <f t="shared" si="2"/>
        <v>0</v>
      </c>
      <c r="M50" s="311">
        <f t="shared" si="2"/>
        <v>2.7483386302428207E-4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2.5194738023653502E-5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4.7740705077350034E-3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2.7483386302428207E-4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6.9985383399037504</v>
      </c>
      <c r="C54" s="21">
        <f t="shared" ref="C54:P54" si="3">(C50)*10^9/3600</f>
        <v>0</v>
      </c>
      <c r="D54" s="21">
        <f t="shared" si="3"/>
        <v>0</v>
      </c>
      <c r="E54" s="21">
        <f t="shared" si="3"/>
        <v>0</v>
      </c>
      <c r="F54" s="21">
        <f t="shared" si="3"/>
        <v>0</v>
      </c>
      <c r="G54" s="21">
        <f t="shared" si="3"/>
        <v>1326.1306965930567</v>
      </c>
      <c r="H54" s="21">
        <f t="shared" si="3"/>
        <v>0</v>
      </c>
      <c r="I54" s="21">
        <f t="shared" si="3"/>
        <v>0</v>
      </c>
      <c r="J54" s="21">
        <f t="shared" si="3"/>
        <v>0</v>
      </c>
      <c r="K54" s="21">
        <f t="shared" si="3"/>
        <v>0</v>
      </c>
      <c r="L54" s="21">
        <f t="shared" si="3"/>
        <v>0</v>
      </c>
      <c r="M54" s="21">
        <f t="shared" si="3"/>
        <v>76.342739728967246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6.0510607599139198E-2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0.42348580725344692</v>
      </c>
      <c r="C58" s="23">
        <f t="shared" ref="C58:P58" ca="1" si="4">C54*C56</f>
        <v>0</v>
      </c>
      <c r="D58" s="23">
        <f t="shared" si="4"/>
        <v>0</v>
      </c>
      <c r="E58" s="23">
        <f t="shared" si="4"/>
        <v>0</v>
      </c>
      <c r="F58" s="23">
        <f t="shared" si="4"/>
        <v>0</v>
      </c>
      <c r="G58" s="23">
        <f t="shared" si="4"/>
        <v>354.07689599034615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24176.78066596196</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5018.1518166763635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898.65</v>
      </c>
      <c r="C8" s="535">
        <f>B49</f>
        <v>0</v>
      </c>
      <c r="D8" s="974"/>
      <c r="E8" s="974">
        <f>E49</f>
        <v>0</v>
      </c>
      <c r="F8" s="975"/>
      <c r="G8" s="536"/>
      <c r="H8" s="974">
        <f>I49</f>
        <v>0</v>
      </c>
      <c r="I8" s="974">
        <f>G49+F49</f>
        <v>0</v>
      </c>
      <c r="J8" s="974">
        <f>H49+D49+C49</f>
        <v>1057.2352941176471</v>
      </c>
      <c r="K8" s="974"/>
      <c r="L8" s="974"/>
      <c r="M8" s="974"/>
      <c r="N8" s="537"/>
      <c r="O8" s="538">
        <f>C8*$C$12+D8*$D$12+E8*$E$12+F8*$F$12+G8*$G$12+H8*$H$12+I8*$I$12+J8*$J$12</f>
        <v>0</v>
      </c>
      <c r="P8" s="1218"/>
      <c r="Q8" s="1219"/>
      <c r="S8" s="938"/>
      <c r="T8" s="1193"/>
      <c r="U8" s="1193"/>
    </row>
    <row r="9" spans="1:21" s="524" customFormat="1" ht="17.45" customHeight="1" thickBot="1">
      <c r="A9" s="539" t="s">
        <v>237</v>
      </c>
      <c r="B9" s="540">
        <f>N37+'Eigen informatie GS &amp; warmtenet'!B12</f>
        <v>405</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1012.5</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30498.582482638325</v>
      </c>
      <c r="C10" s="548">
        <f t="shared" ref="C10:L10" si="0">SUM(C8:C9)</f>
        <v>0</v>
      </c>
      <c r="D10" s="548">
        <f t="shared" si="0"/>
        <v>0</v>
      </c>
      <c r="E10" s="548">
        <f t="shared" si="0"/>
        <v>0</v>
      </c>
      <c r="F10" s="548">
        <f t="shared" si="0"/>
        <v>0</v>
      </c>
      <c r="G10" s="548">
        <f t="shared" si="0"/>
        <v>0</v>
      </c>
      <c r="H10" s="548">
        <f t="shared" si="0"/>
        <v>0</v>
      </c>
      <c r="I10" s="548">
        <f t="shared" si="0"/>
        <v>1012.5</v>
      </c>
      <c r="J10" s="548">
        <f t="shared" si="0"/>
        <v>1057.2352941176471</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1283.7857142857144</v>
      </c>
      <c r="C17" s="560">
        <f>B50</f>
        <v>0</v>
      </c>
      <c r="D17" s="561"/>
      <c r="E17" s="561">
        <f>E50</f>
        <v>0</v>
      </c>
      <c r="F17" s="980"/>
      <c r="G17" s="562"/>
      <c r="H17" s="560">
        <f>I50</f>
        <v>0</v>
      </c>
      <c r="I17" s="561">
        <f>G50+F50</f>
        <v>0</v>
      </c>
      <c r="J17" s="561">
        <f>H50+D50+C50</f>
        <v>1510.3361344537818</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1283.7857142857144</v>
      </c>
      <c r="C20" s="547">
        <f>SUM(C17:C19)</f>
        <v>0</v>
      </c>
      <c r="D20" s="547">
        <f t="shared" ref="D20:L20" si="1">SUM(D17:D19)</f>
        <v>0</v>
      </c>
      <c r="E20" s="547">
        <f t="shared" si="1"/>
        <v>0</v>
      </c>
      <c r="F20" s="547">
        <f t="shared" si="1"/>
        <v>0</v>
      </c>
      <c r="G20" s="547">
        <f t="shared" si="1"/>
        <v>0</v>
      </c>
      <c r="H20" s="547">
        <f t="shared" si="1"/>
        <v>0</v>
      </c>
      <c r="I20" s="547">
        <f t="shared" si="1"/>
        <v>0</v>
      </c>
      <c r="J20" s="547">
        <f t="shared" si="1"/>
        <v>1510.3361344537818</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35005</v>
      </c>
      <c r="C28" s="725">
        <v>8470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71" customFormat="1" ht="25.5" hidden="1">
      <c r="A29" s="570"/>
      <c r="B29" s="725">
        <v>35005</v>
      </c>
      <c r="C29" s="725">
        <v>8470</v>
      </c>
      <c r="D29" s="618"/>
      <c r="E29" s="617"/>
      <c r="F29" s="617"/>
      <c r="G29" s="617" t="s">
        <v>904</v>
      </c>
      <c r="H29" s="617" t="s">
        <v>905</v>
      </c>
      <c r="I29" s="617"/>
      <c r="J29" s="724"/>
      <c r="K29" s="724"/>
      <c r="L29" s="617" t="s">
        <v>906</v>
      </c>
      <c r="M29" s="617">
        <v>190</v>
      </c>
      <c r="N29" s="617">
        <v>855</v>
      </c>
      <c r="O29" s="617">
        <v>1221.4285714285716</v>
      </c>
      <c r="P29" s="617">
        <v>0</v>
      </c>
      <c r="Q29" s="617">
        <v>2442.8571428571431</v>
      </c>
      <c r="R29" s="617">
        <v>0</v>
      </c>
      <c r="S29" s="617">
        <v>0</v>
      </c>
      <c r="T29" s="617">
        <v>0</v>
      </c>
      <c r="U29" s="617">
        <v>0</v>
      </c>
      <c r="V29" s="617">
        <v>0</v>
      </c>
      <c r="W29" s="617">
        <v>0</v>
      </c>
      <c r="X29" s="617"/>
      <c r="Y29" s="617">
        <v>1600</v>
      </c>
      <c r="Z29" s="617" t="s">
        <v>53</v>
      </c>
      <c r="AA29" s="619" t="s">
        <v>149</v>
      </c>
    </row>
    <row r="30" spans="1:27" s="555" customFormat="1" hidden="1">
      <c r="A30" s="573" t="s">
        <v>269</v>
      </c>
      <c r="B30" s="574"/>
      <c r="C30" s="574"/>
      <c r="D30" s="574"/>
      <c r="E30" s="574"/>
      <c r="F30" s="574"/>
      <c r="G30" s="574"/>
      <c r="H30" s="574"/>
      <c r="I30" s="574"/>
      <c r="J30" s="574"/>
      <c r="K30" s="574"/>
      <c r="L30" s="575"/>
      <c r="M30" s="575">
        <f>SUM(M28:M29)</f>
        <v>199.7</v>
      </c>
      <c r="N30" s="575">
        <f>SUM(N28:N29)</f>
        <v>898.65</v>
      </c>
      <c r="O30" s="575">
        <f>SUM(O28:O29)</f>
        <v>1283.7857142857144</v>
      </c>
      <c r="P30" s="575">
        <f>SUM(P28:P29)</f>
        <v>0</v>
      </c>
      <c r="Q30" s="575">
        <f>SUM(Q28:Q29)</f>
        <v>2567.5714285714289</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190</v>
      </c>
      <c r="N32" s="575">
        <f ca="1">SUMIF($AA$28:AE29,"tertiair",N28:N29)</f>
        <v>855</v>
      </c>
      <c r="O32" s="575">
        <f ca="1">SUMIF($AA$28:AF29,"tertiair",O28:O29)</f>
        <v>1221.4285714285716</v>
      </c>
      <c r="P32" s="575">
        <f ca="1">SUMIF($AA$28:AG29,"tertiair",P28:P29)</f>
        <v>0</v>
      </c>
      <c r="Q32" s="575">
        <f ca="1">SUMIF($AA$28:AH29,"tertiair",Q28:Q29)</f>
        <v>2442.8571428571431</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9.6999999999999993</v>
      </c>
      <c r="N33" s="580">
        <f>SUMIF($AA$28:$AA$29,"landbouw",N28:N29)</f>
        <v>43.649999999999991</v>
      </c>
      <c r="O33" s="580">
        <f>SUMIF($AA$28:$AA$29,"landbouw",O28:O29)</f>
        <v>62.357142857142847</v>
      </c>
      <c r="P33" s="580">
        <f>SUMIF($AA$28:$AA$29,"landbouw",P28:P29)</f>
        <v>0</v>
      </c>
      <c r="Q33" s="580">
        <f>SUMIF($AA$28:$AA$29,"landbouw",Q28:Q29)</f>
        <v>124.71428571428569</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38.25" hidden="1">
      <c r="A36" s="572"/>
      <c r="B36" s="725">
        <v>35005</v>
      </c>
      <c r="C36" s="725">
        <v>8470</v>
      </c>
      <c r="D36" s="620"/>
      <c r="E36" s="620"/>
      <c r="F36" s="620"/>
      <c r="G36" s="620" t="s">
        <v>907</v>
      </c>
      <c r="H36" s="620" t="s">
        <v>908</v>
      </c>
      <c r="I36" s="620"/>
      <c r="J36" s="724"/>
      <c r="K36" s="724"/>
      <c r="L36" s="620" t="s">
        <v>906</v>
      </c>
      <c r="M36" s="620">
        <v>90</v>
      </c>
      <c r="N36" s="620">
        <v>405</v>
      </c>
      <c r="O36" s="620">
        <v>0</v>
      </c>
      <c r="P36" s="620">
        <v>0</v>
      </c>
      <c r="Q36" s="620">
        <v>0</v>
      </c>
      <c r="R36" s="620">
        <v>0</v>
      </c>
      <c r="S36" s="620">
        <v>0</v>
      </c>
      <c r="T36" s="620">
        <v>0</v>
      </c>
      <c r="U36" s="620">
        <v>1012.5</v>
      </c>
      <c r="V36" s="620">
        <v>0</v>
      </c>
      <c r="W36" s="620">
        <v>0</v>
      </c>
      <c r="X36" s="620"/>
      <c r="Y36" s="620">
        <v>10</v>
      </c>
      <c r="Z36" s="620" t="s">
        <v>105</v>
      </c>
      <c r="AA36" s="621" t="s">
        <v>105</v>
      </c>
    </row>
    <row r="37" spans="1:28" s="555" customFormat="1" hidden="1">
      <c r="A37" s="573" t="s">
        <v>269</v>
      </c>
      <c r="B37" s="574"/>
      <c r="C37" s="574"/>
      <c r="D37" s="574"/>
      <c r="E37" s="574"/>
      <c r="F37" s="574"/>
      <c r="G37" s="574"/>
      <c r="H37" s="574"/>
      <c r="I37" s="574"/>
      <c r="J37" s="574"/>
      <c r="K37" s="574"/>
      <c r="L37" s="575"/>
      <c r="M37" s="575">
        <f>SUM(M36:M36)</f>
        <v>90</v>
      </c>
      <c r="N37" s="575">
        <f>SUM(N36:N36)</f>
        <v>405</v>
      </c>
      <c r="O37" s="575">
        <f>SUM(O36:O36)</f>
        <v>0</v>
      </c>
      <c r="P37" s="575">
        <f>SUM(P36:P36)</f>
        <v>0</v>
      </c>
      <c r="Q37" s="575">
        <f>SUM(Q36:Q36)</f>
        <v>0</v>
      </c>
      <c r="R37" s="575">
        <f>SUM(R36:R36)</f>
        <v>0</v>
      </c>
      <c r="S37" s="575">
        <f>SUM(S36:S36)</f>
        <v>0</v>
      </c>
      <c r="T37" s="575">
        <f>SUM(T36:T36)</f>
        <v>0</v>
      </c>
      <c r="U37" s="575">
        <f>SUM(U36:U36)</f>
        <v>1012.5</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90</v>
      </c>
      <c r="N40" s="580">
        <f>SUMIF($AA$36:$AA$38,"landbouw",N36:N38)</f>
        <v>405</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1012.5</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0</v>
      </c>
      <c r="C49" s="609">
        <f t="shared" si="2"/>
        <v>1057.2352941176471</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0</v>
      </c>
      <c r="C50" s="612">
        <f t="shared" si="3"/>
        <v>1510.3361344537818</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12822.4</v>
      </c>
      <c r="D10" s="943">
        <f ca="1">tertiair!C16</f>
        <v>1221.4285714285716</v>
      </c>
      <c r="E10" s="943">
        <f ca="1">tertiair!D16</f>
        <v>13565.629000000001</v>
      </c>
      <c r="F10" s="943">
        <f>tertiair!E16</f>
        <v>211.19984582543964</v>
      </c>
      <c r="G10" s="943">
        <f ca="1">tertiair!F16</f>
        <v>2815.0148324540651</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3.1266666666666669</v>
      </c>
      <c r="Q10" s="944">
        <f>tertiair!P16</f>
        <v>0</v>
      </c>
      <c r="R10" s="629">
        <f ca="1">SUM(C10:Q10)</f>
        <v>30638.798916374741</v>
      </c>
      <c r="S10" s="67"/>
    </row>
    <row r="11" spans="1:19" s="438" customFormat="1">
      <c r="A11" s="737" t="s">
        <v>214</v>
      </c>
      <c r="B11" s="742"/>
      <c r="C11" s="943">
        <f>huishoudens!B8</f>
        <v>21557.118778696939</v>
      </c>
      <c r="D11" s="943">
        <f>huishoudens!C8</f>
        <v>0</v>
      </c>
      <c r="E11" s="943">
        <f>huishoudens!D8</f>
        <v>52641.671610000005</v>
      </c>
      <c r="F11" s="943">
        <f>huishoudens!E8</f>
        <v>790.8563129632297</v>
      </c>
      <c r="G11" s="943">
        <f>huishoudens!F8</f>
        <v>24949.049356284704</v>
      </c>
      <c r="H11" s="943">
        <f>huishoudens!G8</f>
        <v>0</v>
      </c>
      <c r="I11" s="943">
        <f>huishoudens!H8</f>
        <v>0</v>
      </c>
      <c r="J11" s="943">
        <f>huishoudens!I8</f>
        <v>0</v>
      </c>
      <c r="K11" s="943">
        <f>huishoudens!J8</f>
        <v>581.8108885029776</v>
      </c>
      <c r="L11" s="943">
        <f>huishoudens!K8</f>
        <v>0</v>
      </c>
      <c r="M11" s="943">
        <f>huishoudens!L8</f>
        <v>0</v>
      </c>
      <c r="N11" s="943">
        <f>huishoudens!M8</f>
        <v>0</v>
      </c>
      <c r="O11" s="943">
        <f>huishoudens!N8</f>
        <v>5505.5381926584478</v>
      </c>
      <c r="P11" s="943">
        <f>huishoudens!O8</f>
        <v>242.31666666666666</v>
      </c>
      <c r="Q11" s="944">
        <f>huishoudens!P8</f>
        <v>305.06666666666666</v>
      </c>
      <c r="R11" s="629">
        <f>SUM(C11:Q11)</f>
        <v>106573.42847243964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4473.085</v>
      </c>
      <c r="D13" s="943">
        <f>industrie!C18</f>
        <v>0</v>
      </c>
      <c r="E13" s="943">
        <f>industrie!D18</f>
        <v>6309.8652320000001</v>
      </c>
      <c r="F13" s="943">
        <f>industrie!E18</f>
        <v>672.88873910427219</v>
      </c>
      <c r="G13" s="943">
        <f>industrie!F18</f>
        <v>2669.44677941994</v>
      </c>
      <c r="H13" s="943">
        <f>industrie!G18</f>
        <v>0</v>
      </c>
      <c r="I13" s="943">
        <f>industrie!H18</f>
        <v>0</v>
      </c>
      <c r="J13" s="943">
        <f>industrie!I18</f>
        <v>0</v>
      </c>
      <c r="K13" s="943">
        <f>industrie!J18</f>
        <v>10.460034168964395</v>
      </c>
      <c r="L13" s="943">
        <f>industrie!K18</f>
        <v>0</v>
      </c>
      <c r="M13" s="943">
        <f>industrie!L18</f>
        <v>0</v>
      </c>
      <c r="N13" s="943">
        <f>industrie!M18</f>
        <v>0</v>
      </c>
      <c r="O13" s="943">
        <f>industrie!N18</f>
        <v>401.86654165040875</v>
      </c>
      <c r="P13" s="943">
        <f>industrie!O18</f>
        <v>0</v>
      </c>
      <c r="Q13" s="944">
        <f>industrie!P18</f>
        <v>0</v>
      </c>
      <c r="R13" s="629">
        <f>SUM(C13:Q13)</f>
        <v>14537.612326343582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38852.603778696939</v>
      </c>
      <c r="D16" s="661">
        <f t="shared" ref="D16:R16" ca="1" si="0">SUM(D9:D15)</f>
        <v>1221.4285714285716</v>
      </c>
      <c r="E16" s="661">
        <f t="shared" ca="1" si="0"/>
        <v>72517.165842000002</v>
      </c>
      <c r="F16" s="661">
        <f t="shared" si="0"/>
        <v>1674.9448978929415</v>
      </c>
      <c r="G16" s="661">
        <f t="shared" ca="1" si="0"/>
        <v>30433.510968158709</v>
      </c>
      <c r="H16" s="661">
        <f t="shared" si="0"/>
        <v>0</v>
      </c>
      <c r="I16" s="661">
        <f t="shared" si="0"/>
        <v>0</v>
      </c>
      <c r="J16" s="661">
        <f t="shared" si="0"/>
        <v>0</v>
      </c>
      <c r="K16" s="661">
        <f t="shared" si="0"/>
        <v>592.270922671942</v>
      </c>
      <c r="L16" s="661">
        <f t="shared" si="0"/>
        <v>0</v>
      </c>
      <c r="M16" s="661">
        <f t="shared" ca="1" si="0"/>
        <v>0</v>
      </c>
      <c r="N16" s="661">
        <f t="shared" si="0"/>
        <v>0</v>
      </c>
      <c r="O16" s="661">
        <f t="shared" ca="1" si="0"/>
        <v>5907.4047343088569</v>
      </c>
      <c r="P16" s="661">
        <f t="shared" si="0"/>
        <v>245.44333333333333</v>
      </c>
      <c r="Q16" s="661">
        <f t="shared" si="0"/>
        <v>305.06666666666666</v>
      </c>
      <c r="R16" s="661">
        <f t="shared" ca="1" si="0"/>
        <v>151749.83971515796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6.9985383399037504</v>
      </c>
      <c r="D19" s="943">
        <f>transport!C54</f>
        <v>0</v>
      </c>
      <c r="E19" s="943">
        <f>transport!D54</f>
        <v>0</v>
      </c>
      <c r="F19" s="943">
        <f>transport!E54</f>
        <v>0</v>
      </c>
      <c r="G19" s="943">
        <f>transport!F54</f>
        <v>0</v>
      </c>
      <c r="H19" s="943">
        <f>transport!G54</f>
        <v>1326.1306965930567</v>
      </c>
      <c r="I19" s="943">
        <f>transport!H54</f>
        <v>0</v>
      </c>
      <c r="J19" s="943">
        <f>transport!I54</f>
        <v>0</v>
      </c>
      <c r="K19" s="943">
        <f>transport!J54</f>
        <v>0</v>
      </c>
      <c r="L19" s="943">
        <f>transport!K54</f>
        <v>0</v>
      </c>
      <c r="M19" s="943">
        <f>transport!L54</f>
        <v>0</v>
      </c>
      <c r="N19" s="943">
        <f>transport!M54</f>
        <v>76.342739728967246</v>
      </c>
      <c r="O19" s="943">
        <f>transport!N54</f>
        <v>0</v>
      </c>
      <c r="P19" s="943">
        <f>transport!O54</f>
        <v>0</v>
      </c>
      <c r="Q19" s="944">
        <f>transport!P54</f>
        <v>0</v>
      </c>
      <c r="R19" s="629">
        <f>SUM(C19:Q19)</f>
        <v>1409.4719746619276</v>
      </c>
      <c r="S19" s="67"/>
    </row>
    <row r="20" spans="1:19" s="438" customFormat="1">
      <c r="A20" s="737" t="s">
        <v>296</v>
      </c>
      <c r="B20" s="742"/>
      <c r="C20" s="943">
        <f>transport!B14</f>
        <v>23.96824072151075</v>
      </c>
      <c r="D20" s="943">
        <f>transport!C14</f>
        <v>0</v>
      </c>
      <c r="E20" s="943">
        <f>transport!D14</f>
        <v>32.220814059027319</v>
      </c>
      <c r="F20" s="943">
        <f>transport!E14</f>
        <v>359.00401350231493</v>
      </c>
      <c r="G20" s="943">
        <f>transport!F14</f>
        <v>0</v>
      </c>
      <c r="H20" s="943">
        <f>transport!G14</f>
        <v>154578.54384829607</v>
      </c>
      <c r="I20" s="943">
        <f>transport!H14</f>
        <v>20453.316870400417</v>
      </c>
      <c r="J20" s="943">
        <f>transport!I14</f>
        <v>0</v>
      </c>
      <c r="K20" s="943">
        <f>transport!J14</f>
        <v>0</v>
      </c>
      <c r="L20" s="943">
        <f>transport!K14</f>
        <v>0</v>
      </c>
      <c r="M20" s="943">
        <f>transport!L14</f>
        <v>0</v>
      </c>
      <c r="N20" s="943">
        <f>transport!M14</f>
        <v>9585.9082476687581</v>
      </c>
      <c r="O20" s="943">
        <f>transport!N14</f>
        <v>0</v>
      </c>
      <c r="P20" s="943">
        <f>transport!O14</f>
        <v>0</v>
      </c>
      <c r="Q20" s="944">
        <f>transport!P14</f>
        <v>0</v>
      </c>
      <c r="R20" s="629">
        <f>SUM(C20:Q20)</f>
        <v>185032.96203464811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30.966779061414499</v>
      </c>
      <c r="D22" s="740">
        <f t="shared" ref="D22:R22" si="1">SUM(D18:D21)</f>
        <v>0</v>
      </c>
      <c r="E22" s="740">
        <f t="shared" si="1"/>
        <v>32.220814059027319</v>
      </c>
      <c r="F22" s="740">
        <f t="shared" si="1"/>
        <v>359.00401350231493</v>
      </c>
      <c r="G22" s="740">
        <f t="shared" si="1"/>
        <v>0</v>
      </c>
      <c r="H22" s="740">
        <f t="shared" si="1"/>
        <v>155904.67454488913</v>
      </c>
      <c r="I22" s="740">
        <f t="shared" si="1"/>
        <v>20453.316870400417</v>
      </c>
      <c r="J22" s="740">
        <f t="shared" si="1"/>
        <v>0</v>
      </c>
      <c r="K22" s="740">
        <f t="shared" si="1"/>
        <v>0</v>
      </c>
      <c r="L22" s="740">
        <f t="shared" si="1"/>
        <v>0</v>
      </c>
      <c r="M22" s="740">
        <f t="shared" si="1"/>
        <v>0</v>
      </c>
      <c r="N22" s="740">
        <f t="shared" si="1"/>
        <v>9662.2509873977251</v>
      </c>
      <c r="O22" s="740">
        <f t="shared" si="1"/>
        <v>0</v>
      </c>
      <c r="P22" s="740">
        <f t="shared" si="1"/>
        <v>0</v>
      </c>
      <c r="Q22" s="740">
        <f t="shared" si="1"/>
        <v>0</v>
      </c>
      <c r="R22" s="740">
        <f t="shared" si="1"/>
        <v>186442.43400931003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2395.0059999999999</v>
      </c>
      <c r="D24" s="943">
        <f>+landbouw!C8</f>
        <v>62.357142857142847</v>
      </c>
      <c r="E24" s="943">
        <f>+landbouw!D8</f>
        <v>1145.415524</v>
      </c>
      <c r="F24" s="943">
        <f>+landbouw!E8</f>
        <v>51.357405514190305</v>
      </c>
      <c r="G24" s="943">
        <f>+landbouw!F8</f>
        <v>7768.6320228269733</v>
      </c>
      <c r="H24" s="943">
        <f>+landbouw!G8</f>
        <v>0</v>
      </c>
      <c r="I24" s="943">
        <f>+landbouw!H8</f>
        <v>0</v>
      </c>
      <c r="J24" s="943">
        <f>+landbouw!I8</f>
        <v>0</v>
      </c>
      <c r="K24" s="943">
        <f>+landbouw!J8</f>
        <v>230.76009381373532</v>
      </c>
      <c r="L24" s="943">
        <f>+landbouw!K8</f>
        <v>0</v>
      </c>
      <c r="M24" s="943">
        <f>+landbouw!L8</f>
        <v>0</v>
      </c>
      <c r="N24" s="943">
        <f>+landbouw!M8</f>
        <v>0</v>
      </c>
      <c r="O24" s="943">
        <f>+landbouw!N8</f>
        <v>0</v>
      </c>
      <c r="P24" s="943">
        <f>+landbouw!O8</f>
        <v>0</v>
      </c>
      <c r="Q24" s="944">
        <f>+landbouw!P8</f>
        <v>0</v>
      </c>
      <c r="R24" s="629">
        <f>SUM(C24:Q24)</f>
        <v>11653.52818901204</v>
      </c>
      <c r="S24" s="67"/>
    </row>
    <row r="25" spans="1:19" s="438" customFormat="1" ht="15" thickBot="1">
      <c r="A25" s="759" t="s">
        <v>802</v>
      </c>
      <c r="B25" s="946"/>
      <c r="C25" s="947">
        <f>IF(Onbekend_ele_kWh="---",0,Onbekend_ele_kWh)/1000+IF(REST_rest_ele_kWh="---",0,REST_rest_ele_kWh)/1000</f>
        <v>719.13199999999995</v>
      </c>
      <c r="D25" s="947"/>
      <c r="E25" s="947">
        <f>IF(onbekend_gas_kWh="---",0,onbekend_gas_kWh)/1000+IF(REST_rest_gas_kWh="---",0,REST_rest_gas_kWh)/1000</f>
        <v>1330.92</v>
      </c>
      <c r="F25" s="947"/>
      <c r="G25" s="947"/>
      <c r="H25" s="947"/>
      <c r="I25" s="947"/>
      <c r="J25" s="947"/>
      <c r="K25" s="947"/>
      <c r="L25" s="947"/>
      <c r="M25" s="947"/>
      <c r="N25" s="947"/>
      <c r="O25" s="947"/>
      <c r="P25" s="947"/>
      <c r="Q25" s="948"/>
      <c r="R25" s="629">
        <f>SUM(C25:Q25)</f>
        <v>2050.0520000000001</v>
      </c>
      <c r="S25" s="67"/>
    </row>
    <row r="26" spans="1:19" s="438" customFormat="1" ht="15.75" thickBot="1">
      <c r="A26" s="634" t="s">
        <v>803</v>
      </c>
      <c r="B26" s="745"/>
      <c r="C26" s="740">
        <f>SUM(C24:C25)</f>
        <v>3114.1379999999999</v>
      </c>
      <c r="D26" s="740">
        <f t="shared" ref="D26:R26" si="2">SUM(D24:D25)</f>
        <v>62.357142857142847</v>
      </c>
      <c r="E26" s="740">
        <f t="shared" si="2"/>
        <v>2476.3355240000001</v>
      </c>
      <c r="F26" s="740">
        <f t="shared" si="2"/>
        <v>51.357405514190305</v>
      </c>
      <c r="G26" s="740">
        <f t="shared" si="2"/>
        <v>7768.6320228269733</v>
      </c>
      <c r="H26" s="740">
        <f t="shared" si="2"/>
        <v>0</v>
      </c>
      <c r="I26" s="740">
        <f t="shared" si="2"/>
        <v>0</v>
      </c>
      <c r="J26" s="740">
        <f t="shared" si="2"/>
        <v>0</v>
      </c>
      <c r="K26" s="740">
        <f t="shared" si="2"/>
        <v>230.76009381373532</v>
      </c>
      <c r="L26" s="740">
        <f t="shared" si="2"/>
        <v>0</v>
      </c>
      <c r="M26" s="740">
        <f t="shared" si="2"/>
        <v>0</v>
      </c>
      <c r="N26" s="740">
        <f t="shared" si="2"/>
        <v>0</v>
      </c>
      <c r="O26" s="740">
        <f t="shared" si="2"/>
        <v>0</v>
      </c>
      <c r="P26" s="740">
        <f t="shared" si="2"/>
        <v>0</v>
      </c>
      <c r="Q26" s="740">
        <f t="shared" si="2"/>
        <v>0</v>
      </c>
      <c r="R26" s="740">
        <f t="shared" si="2"/>
        <v>13703.58018901204</v>
      </c>
      <c r="S26" s="67"/>
    </row>
    <row r="27" spans="1:19" s="438" customFormat="1" ht="17.25" thickTop="1" thickBot="1">
      <c r="A27" s="635" t="s">
        <v>109</v>
      </c>
      <c r="B27" s="733"/>
      <c r="C27" s="636">
        <f ca="1">C22+C16+C26</f>
        <v>41997.708557758349</v>
      </c>
      <c r="D27" s="636">
        <f t="shared" ref="D27:R27" ca="1" si="3">D22+D16+D26</f>
        <v>1283.7857142857144</v>
      </c>
      <c r="E27" s="636">
        <f t="shared" ca="1" si="3"/>
        <v>75025.72218005902</v>
      </c>
      <c r="F27" s="636">
        <f t="shared" si="3"/>
        <v>2085.3063169094467</v>
      </c>
      <c r="G27" s="636">
        <f t="shared" ca="1" si="3"/>
        <v>38202.142990985682</v>
      </c>
      <c r="H27" s="636">
        <f t="shared" si="3"/>
        <v>155904.67454488913</v>
      </c>
      <c r="I27" s="636">
        <f t="shared" si="3"/>
        <v>20453.316870400417</v>
      </c>
      <c r="J27" s="636">
        <f t="shared" si="3"/>
        <v>0</v>
      </c>
      <c r="K27" s="636">
        <f t="shared" si="3"/>
        <v>823.03101648567736</v>
      </c>
      <c r="L27" s="636">
        <f t="shared" si="3"/>
        <v>0</v>
      </c>
      <c r="M27" s="636">
        <f t="shared" ca="1" si="3"/>
        <v>0</v>
      </c>
      <c r="N27" s="636">
        <f t="shared" si="3"/>
        <v>9662.2509873977251</v>
      </c>
      <c r="O27" s="636">
        <f t="shared" ca="1" si="3"/>
        <v>5907.4047343088569</v>
      </c>
      <c r="P27" s="636">
        <f t="shared" si="3"/>
        <v>245.44333333333333</v>
      </c>
      <c r="Q27" s="636">
        <f t="shared" si="3"/>
        <v>305.06666666666666</v>
      </c>
      <c r="R27" s="636">
        <f t="shared" ca="1" si="3"/>
        <v>351895.85391348001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775.89121487920249</v>
      </c>
      <c r="D40" s="943">
        <f ca="1">tertiair!C20</f>
        <v>0</v>
      </c>
      <c r="E40" s="943">
        <f ca="1">tertiair!D20</f>
        <v>2740.2570580000001</v>
      </c>
      <c r="F40" s="943">
        <f>tertiair!E20</f>
        <v>47.9423650023748</v>
      </c>
      <c r="G40" s="943">
        <f ca="1">tertiair!F20</f>
        <v>751.6089602652354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4315.6995981468126</v>
      </c>
    </row>
    <row r="41" spans="1:18">
      <c r="A41" s="750" t="s">
        <v>214</v>
      </c>
      <c r="B41" s="757"/>
      <c r="C41" s="943">
        <f ca="1">huishoudens!B12</f>
        <v>1304.4343553857652</v>
      </c>
      <c r="D41" s="943">
        <f ca="1">huishoudens!C12</f>
        <v>0</v>
      </c>
      <c r="E41" s="943">
        <f>huishoudens!D12</f>
        <v>10633.617665220001</v>
      </c>
      <c r="F41" s="943">
        <f>huishoudens!E12</f>
        <v>179.52438304265314</v>
      </c>
      <c r="G41" s="943">
        <f>huishoudens!F12</f>
        <v>6661.3961781280168</v>
      </c>
      <c r="H41" s="943">
        <f>huishoudens!G12</f>
        <v>0</v>
      </c>
      <c r="I41" s="943">
        <f>huishoudens!H12</f>
        <v>0</v>
      </c>
      <c r="J41" s="943">
        <f>huishoudens!I12</f>
        <v>0</v>
      </c>
      <c r="K41" s="943">
        <f>huishoudens!J12</f>
        <v>205.96105453005407</v>
      </c>
      <c r="L41" s="943">
        <f>huishoudens!K12</f>
        <v>0</v>
      </c>
      <c r="M41" s="943">
        <f>huishoudens!L12</f>
        <v>0</v>
      </c>
      <c r="N41" s="943">
        <f>huishoudens!M12</f>
        <v>0</v>
      </c>
      <c r="O41" s="943">
        <f>huishoudens!N12</f>
        <v>0</v>
      </c>
      <c r="P41" s="943">
        <f>huishoudens!O12</f>
        <v>0</v>
      </c>
      <c r="Q41" s="703">
        <f>huishoudens!P12</f>
        <v>0</v>
      </c>
      <c r="R41" s="778">
        <f t="shared" ca="1" si="4"/>
        <v>18984.93363630649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270.66909119259554</v>
      </c>
      <c r="D43" s="943">
        <f ca="1">industrie!C22</f>
        <v>0</v>
      </c>
      <c r="E43" s="943">
        <f>industrie!D22</f>
        <v>1274.5927768640001</v>
      </c>
      <c r="F43" s="943">
        <f>industrie!E22</f>
        <v>152.7457437766698</v>
      </c>
      <c r="G43" s="943">
        <f>industrie!F22</f>
        <v>712.74229010512397</v>
      </c>
      <c r="H43" s="943">
        <f>industrie!G22</f>
        <v>0</v>
      </c>
      <c r="I43" s="943">
        <f>industrie!H22</f>
        <v>0</v>
      </c>
      <c r="J43" s="943">
        <f>industrie!I22</f>
        <v>0</v>
      </c>
      <c r="K43" s="943">
        <f>industrie!J22</f>
        <v>3.7028520958133955</v>
      </c>
      <c r="L43" s="943">
        <f>industrie!K22</f>
        <v>0</v>
      </c>
      <c r="M43" s="943">
        <f>industrie!L22</f>
        <v>0</v>
      </c>
      <c r="N43" s="943">
        <f>industrie!M22</f>
        <v>0</v>
      </c>
      <c r="O43" s="943">
        <f>industrie!N22</f>
        <v>0</v>
      </c>
      <c r="P43" s="943">
        <f>industrie!O22</f>
        <v>0</v>
      </c>
      <c r="Q43" s="703">
        <f>industrie!P22</f>
        <v>0</v>
      </c>
      <c r="R43" s="777">
        <f t="shared" ca="1" si="4"/>
        <v>2414.4527540342028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2350.9946614575633</v>
      </c>
      <c r="D46" s="661">
        <f t="shared" ref="D46:Q46" ca="1" si="5">SUM(D39:D45)</f>
        <v>0</v>
      </c>
      <c r="E46" s="661">
        <f t="shared" ca="1" si="5"/>
        <v>14648.467500084</v>
      </c>
      <c r="F46" s="661">
        <f t="shared" si="5"/>
        <v>380.21249182169777</v>
      </c>
      <c r="G46" s="661">
        <f t="shared" ca="1" si="5"/>
        <v>8125.7474284983764</v>
      </c>
      <c r="H46" s="661">
        <f t="shared" si="5"/>
        <v>0</v>
      </c>
      <c r="I46" s="661">
        <f t="shared" si="5"/>
        <v>0</v>
      </c>
      <c r="J46" s="661">
        <f t="shared" si="5"/>
        <v>0</v>
      </c>
      <c r="K46" s="661">
        <f t="shared" si="5"/>
        <v>209.66390662586747</v>
      </c>
      <c r="L46" s="661">
        <f t="shared" si="5"/>
        <v>0</v>
      </c>
      <c r="M46" s="661">
        <f t="shared" ca="1" si="5"/>
        <v>0</v>
      </c>
      <c r="N46" s="661">
        <f t="shared" si="5"/>
        <v>0</v>
      </c>
      <c r="O46" s="661">
        <f t="shared" ca="1" si="5"/>
        <v>0</v>
      </c>
      <c r="P46" s="661">
        <f t="shared" si="5"/>
        <v>0</v>
      </c>
      <c r="Q46" s="661">
        <f t="shared" si="5"/>
        <v>0</v>
      </c>
      <c r="R46" s="661">
        <f ca="1">SUM(R39:R45)</f>
        <v>25715.085988487506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0.42348580725344692</v>
      </c>
      <c r="D49" s="943">
        <f ca="1">transport!C58</f>
        <v>0</v>
      </c>
      <c r="E49" s="943">
        <f>transport!D58</f>
        <v>0</v>
      </c>
      <c r="F49" s="943">
        <f>transport!E58</f>
        <v>0</v>
      </c>
      <c r="G49" s="943">
        <f>transport!F58</f>
        <v>0</v>
      </c>
      <c r="H49" s="943">
        <f>transport!G58</f>
        <v>354.07689599034615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354.50038179759957</v>
      </c>
    </row>
    <row r="50" spans="1:18">
      <c r="A50" s="753" t="s">
        <v>296</v>
      </c>
      <c r="B50" s="763"/>
      <c r="C50" s="632">
        <f ca="1">transport!B18</f>
        <v>1.4503328091410459</v>
      </c>
      <c r="D50" s="632">
        <f>transport!C18</f>
        <v>0</v>
      </c>
      <c r="E50" s="632">
        <f>transport!D18</f>
        <v>6.508604439923519</v>
      </c>
      <c r="F50" s="632">
        <f>transport!E18</f>
        <v>81.493911065025486</v>
      </c>
      <c r="G50" s="632">
        <f>transport!F18</f>
        <v>0</v>
      </c>
      <c r="H50" s="632">
        <f>transport!G18</f>
        <v>41272.471207495051</v>
      </c>
      <c r="I50" s="632">
        <f>transport!H18</f>
        <v>5092.875900729704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46454.799956538845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1.8738186163944928</v>
      </c>
      <c r="D52" s="661">
        <f t="shared" ref="D52:Q52" ca="1" si="6">SUM(D48:D51)</f>
        <v>0</v>
      </c>
      <c r="E52" s="661">
        <f t="shared" si="6"/>
        <v>6.508604439923519</v>
      </c>
      <c r="F52" s="661">
        <f t="shared" si="6"/>
        <v>81.493911065025486</v>
      </c>
      <c r="G52" s="661">
        <f t="shared" si="6"/>
        <v>0</v>
      </c>
      <c r="H52" s="661">
        <f t="shared" si="6"/>
        <v>41626.548103485395</v>
      </c>
      <c r="I52" s="661">
        <f t="shared" si="6"/>
        <v>5092.875900729704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46809.300338336448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144.92326826358396</v>
      </c>
      <c r="D54" s="632">
        <f ca="1">+landbouw!C12</f>
        <v>0</v>
      </c>
      <c r="E54" s="632">
        <f>+landbouw!D12</f>
        <v>231.373935848</v>
      </c>
      <c r="F54" s="632">
        <f>+landbouw!E12</f>
        <v>11.658131051721199</v>
      </c>
      <c r="G54" s="632">
        <f>+landbouw!F12</f>
        <v>2074.2247500948019</v>
      </c>
      <c r="H54" s="632">
        <f>+landbouw!G12</f>
        <v>0</v>
      </c>
      <c r="I54" s="632">
        <f>+landbouw!H12</f>
        <v>0</v>
      </c>
      <c r="J54" s="632">
        <f>+landbouw!I12</f>
        <v>0</v>
      </c>
      <c r="K54" s="632">
        <f>+landbouw!J12</f>
        <v>81.689073210062304</v>
      </c>
      <c r="L54" s="632">
        <f>+landbouw!K12</f>
        <v>0</v>
      </c>
      <c r="M54" s="632">
        <f>+landbouw!L12</f>
        <v>0</v>
      </c>
      <c r="N54" s="632">
        <f>+landbouw!M12</f>
        <v>0</v>
      </c>
      <c r="O54" s="632">
        <f>+landbouw!N12</f>
        <v>0</v>
      </c>
      <c r="P54" s="632">
        <f>+landbouw!O12</f>
        <v>0</v>
      </c>
      <c r="Q54" s="633">
        <f>+landbouw!P12</f>
        <v>0</v>
      </c>
      <c r="R54" s="660">
        <f ca="1">SUM(C54:Q54)</f>
        <v>2543.8691584681696</v>
      </c>
    </row>
    <row r="55" spans="1:18" ht="15" thickBot="1">
      <c r="A55" s="753" t="s">
        <v>802</v>
      </c>
      <c r="B55" s="763"/>
      <c r="C55" s="632">
        <f ca="1">C25*'EF ele_warmte'!B12</f>
        <v>43.515114263984167</v>
      </c>
      <c r="D55" s="632"/>
      <c r="E55" s="632">
        <f>E25*EF_CO2_aardgas</f>
        <v>268.84584000000001</v>
      </c>
      <c r="F55" s="632"/>
      <c r="G55" s="632"/>
      <c r="H55" s="632"/>
      <c r="I55" s="632"/>
      <c r="J55" s="632"/>
      <c r="K55" s="632"/>
      <c r="L55" s="632"/>
      <c r="M55" s="632"/>
      <c r="N55" s="632"/>
      <c r="O55" s="632"/>
      <c r="P55" s="632"/>
      <c r="Q55" s="633"/>
      <c r="R55" s="660">
        <f ca="1">SUM(C55:Q55)</f>
        <v>312.36095426398418</v>
      </c>
    </row>
    <row r="56" spans="1:18" ht="15.75" thickBot="1">
      <c r="A56" s="751" t="s">
        <v>803</v>
      </c>
      <c r="B56" s="764"/>
      <c r="C56" s="661">
        <f ca="1">SUM(C54:C55)</f>
        <v>188.43838252756814</v>
      </c>
      <c r="D56" s="661">
        <f t="shared" ref="D56:Q56" ca="1" si="7">SUM(D54:D55)</f>
        <v>0</v>
      </c>
      <c r="E56" s="661">
        <f t="shared" si="7"/>
        <v>500.21977584800004</v>
      </c>
      <c r="F56" s="661">
        <f t="shared" si="7"/>
        <v>11.658131051721199</v>
      </c>
      <c r="G56" s="661">
        <f t="shared" si="7"/>
        <v>2074.2247500948019</v>
      </c>
      <c r="H56" s="661">
        <f t="shared" si="7"/>
        <v>0</v>
      </c>
      <c r="I56" s="661">
        <f t="shared" si="7"/>
        <v>0</v>
      </c>
      <c r="J56" s="661">
        <f t="shared" si="7"/>
        <v>0</v>
      </c>
      <c r="K56" s="661">
        <f t="shared" si="7"/>
        <v>81.689073210062304</v>
      </c>
      <c r="L56" s="661">
        <f t="shared" si="7"/>
        <v>0</v>
      </c>
      <c r="M56" s="661">
        <f t="shared" si="7"/>
        <v>0</v>
      </c>
      <c r="N56" s="661">
        <f t="shared" si="7"/>
        <v>0</v>
      </c>
      <c r="O56" s="661">
        <f t="shared" si="7"/>
        <v>0</v>
      </c>
      <c r="P56" s="661">
        <f t="shared" si="7"/>
        <v>0</v>
      </c>
      <c r="Q56" s="662">
        <f t="shared" si="7"/>
        <v>0</v>
      </c>
      <c r="R56" s="663">
        <f ca="1">SUM(R54:R55)</f>
        <v>2856.2301127321539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2541.3068626015261</v>
      </c>
      <c r="D61" s="669">
        <f t="shared" ref="D61:Q61" ca="1" si="8">D46+D52+D56</f>
        <v>0</v>
      </c>
      <c r="E61" s="669">
        <f t="shared" ca="1" si="8"/>
        <v>15155.195880371923</v>
      </c>
      <c r="F61" s="669">
        <f t="shared" si="8"/>
        <v>473.36453393844442</v>
      </c>
      <c r="G61" s="669">
        <f t="shared" ca="1" si="8"/>
        <v>10199.972178593178</v>
      </c>
      <c r="H61" s="669">
        <f t="shared" si="8"/>
        <v>41626.548103485395</v>
      </c>
      <c r="I61" s="669">
        <f t="shared" si="8"/>
        <v>5092.875900729704</v>
      </c>
      <c r="J61" s="669">
        <f t="shared" si="8"/>
        <v>0</v>
      </c>
      <c r="K61" s="669">
        <f t="shared" si="8"/>
        <v>291.35297983592977</v>
      </c>
      <c r="L61" s="669">
        <f t="shared" si="8"/>
        <v>0</v>
      </c>
      <c r="M61" s="669">
        <f t="shared" ca="1" si="8"/>
        <v>0</v>
      </c>
      <c r="N61" s="669">
        <f t="shared" si="8"/>
        <v>0</v>
      </c>
      <c r="O61" s="669">
        <f t="shared" ca="1" si="8"/>
        <v>0</v>
      </c>
      <c r="P61" s="669">
        <f t="shared" si="8"/>
        <v>0</v>
      </c>
      <c r="Q61" s="669">
        <f t="shared" si="8"/>
        <v>0</v>
      </c>
      <c r="R61" s="669">
        <f ca="1">R46+R52+R56</f>
        <v>75380.616439556106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6.0510607599139205E-2</v>
      </c>
      <c r="D63" s="710">
        <f t="shared" ca="1" si="9"/>
        <v>0</v>
      </c>
      <c r="E63" s="954">
        <f t="shared" ca="1" si="9"/>
        <v>0.20200000000000001</v>
      </c>
      <c r="F63" s="710">
        <f t="shared" si="9"/>
        <v>0.22700000000000001</v>
      </c>
      <c r="G63" s="710">
        <f t="shared" ca="1" si="9"/>
        <v>0.26700000000000002</v>
      </c>
      <c r="H63" s="710">
        <f t="shared" si="9"/>
        <v>0.26699999999999996</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24176.78066596196</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5018.1518166763635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898.65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1057.2352941176471</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405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1012.5</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30498.582482638325</v>
      </c>
      <c r="C78" s="684">
        <f>SUM(C72:C77)</f>
        <v>0</v>
      </c>
      <c r="D78" s="685">
        <f t="shared" ref="D78:H78" si="10">SUM(D76:D77)</f>
        <v>0</v>
      </c>
      <c r="E78" s="685">
        <f t="shared" si="10"/>
        <v>0</v>
      </c>
      <c r="F78" s="685">
        <f t="shared" si="10"/>
        <v>0</v>
      </c>
      <c r="G78" s="685">
        <f t="shared" si="10"/>
        <v>0</v>
      </c>
      <c r="H78" s="685">
        <f t="shared" si="10"/>
        <v>0</v>
      </c>
      <c r="I78" s="685">
        <f>SUM(I76:I77)</f>
        <v>1012.5</v>
      </c>
      <c r="J78" s="685">
        <f>SUM(J76:J77)</f>
        <v>1057.2352941176471</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1283.7857142857144</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1510.3361344537818</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1283.7857142857144</v>
      </c>
      <c r="C90" s="684">
        <f>SUM(C87:C89)</f>
        <v>0</v>
      </c>
      <c r="D90" s="684">
        <f t="shared" ref="D90:H90" si="12">SUM(D87:D89)</f>
        <v>0</v>
      </c>
      <c r="E90" s="684">
        <f t="shared" si="12"/>
        <v>0</v>
      </c>
      <c r="F90" s="684">
        <f t="shared" si="12"/>
        <v>0</v>
      </c>
      <c r="G90" s="684">
        <f t="shared" si="12"/>
        <v>0</v>
      </c>
      <c r="H90" s="684">
        <f t="shared" si="12"/>
        <v>0</v>
      </c>
      <c r="I90" s="684">
        <f>SUM(I87:I89)</f>
        <v>0</v>
      </c>
      <c r="J90" s="684">
        <f>SUM(J87:J89)</f>
        <v>1510.3361344537818</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21557.118778696939</v>
      </c>
      <c r="C4" s="442">
        <f>huishoudens!C8</f>
        <v>0</v>
      </c>
      <c r="D4" s="442">
        <f>huishoudens!D8</f>
        <v>52641.671610000005</v>
      </c>
      <c r="E4" s="442">
        <f>huishoudens!E8</f>
        <v>790.8563129632297</v>
      </c>
      <c r="F4" s="442">
        <f>huishoudens!F8</f>
        <v>24949.049356284704</v>
      </c>
      <c r="G4" s="442">
        <f>huishoudens!G8</f>
        <v>0</v>
      </c>
      <c r="H4" s="442">
        <f>huishoudens!H8</f>
        <v>0</v>
      </c>
      <c r="I4" s="442">
        <f>huishoudens!I8</f>
        <v>0</v>
      </c>
      <c r="J4" s="442">
        <f>huishoudens!J8</f>
        <v>581.8108885029776</v>
      </c>
      <c r="K4" s="442">
        <f>huishoudens!K8</f>
        <v>0</v>
      </c>
      <c r="L4" s="442">
        <f>huishoudens!L8</f>
        <v>0</v>
      </c>
      <c r="M4" s="442">
        <f>huishoudens!M8</f>
        <v>0</v>
      </c>
      <c r="N4" s="442">
        <f>huishoudens!N8</f>
        <v>5505.5381926584478</v>
      </c>
      <c r="O4" s="442">
        <f>huishoudens!O8</f>
        <v>242.31666666666666</v>
      </c>
      <c r="P4" s="443">
        <f>huishoudens!P8</f>
        <v>305.06666666666666</v>
      </c>
      <c r="Q4" s="444">
        <f>SUM(B4:P4)</f>
        <v>106573.42847243964</v>
      </c>
    </row>
    <row r="5" spans="1:17">
      <c r="A5" s="441" t="s">
        <v>149</v>
      </c>
      <c r="B5" s="442">
        <f ca="1">tertiair!B16</f>
        <v>11762.64</v>
      </c>
      <c r="C5" s="442">
        <f ca="1">tertiair!C16</f>
        <v>1221.4285714285716</v>
      </c>
      <c r="D5" s="442">
        <f ca="1">tertiair!D16</f>
        <v>13565.629000000001</v>
      </c>
      <c r="E5" s="442">
        <f>tertiair!E16</f>
        <v>211.19984582543964</v>
      </c>
      <c r="F5" s="442">
        <f ca="1">tertiair!F16</f>
        <v>2815.0148324540651</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3.1266666666666669</v>
      </c>
      <c r="P5" s="443">
        <f>tertiair!P16</f>
        <v>0</v>
      </c>
      <c r="Q5" s="441">
        <f t="shared" ref="Q5:Q14" ca="1" si="0">SUM(B5:P5)</f>
        <v>29579.038916374742</v>
      </c>
    </row>
    <row r="6" spans="1:17">
      <c r="A6" s="441" t="s">
        <v>187</v>
      </c>
      <c r="B6" s="442">
        <f>'openbare verlichting'!B8</f>
        <v>1059.76</v>
      </c>
      <c r="C6" s="442"/>
      <c r="D6" s="442"/>
      <c r="E6" s="442"/>
      <c r="F6" s="442"/>
      <c r="G6" s="442"/>
      <c r="H6" s="442"/>
      <c r="I6" s="442"/>
      <c r="J6" s="442"/>
      <c r="K6" s="442"/>
      <c r="L6" s="442"/>
      <c r="M6" s="442"/>
      <c r="N6" s="442"/>
      <c r="O6" s="442"/>
      <c r="P6" s="443"/>
      <c r="Q6" s="441">
        <f t="shared" si="0"/>
        <v>1059.76</v>
      </c>
    </row>
    <row r="7" spans="1:17">
      <c r="A7" s="441" t="s">
        <v>105</v>
      </c>
      <c r="B7" s="442">
        <f>landbouw!B8</f>
        <v>2395.0059999999999</v>
      </c>
      <c r="C7" s="442">
        <f>landbouw!C8</f>
        <v>62.357142857142847</v>
      </c>
      <c r="D7" s="442">
        <f>landbouw!D8</f>
        <v>1145.415524</v>
      </c>
      <c r="E7" s="442">
        <f>landbouw!E8</f>
        <v>51.357405514190305</v>
      </c>
      <c r="F7" s="442">
        <f>landbouw!F8</f>
        <v>7768.6320228269733</v>
      </c>
      <c r="G7" s="442">
        <f>landbouw!G8</f>
        <v>0</v>
      </c>
      <c r="H7" s="442">
        <f>landbouw!H8</f>
        <v>0</v>
      </c>
      <c r="I7" s="442">
        <f>landbouw!I8</f>
        <v>0</v>
      </c>
      <c r="J7" s="442">
        <f>landbouw!J8</f>
        <v>230.76009381373532</v>
      </c>
      <c r="K7" s="442">
        <f>landbouw!K8</f>
        <v>0</v>
      </c>
      <c r="L7" s="442">
        <f>landbouw!L8</f>
        <v>0</v>
      </c>
      <c r="M7" s="442">
        <f>landbouw!M8</f>
        <v>0</v>
      </c>
      <c r="N7" s="442">
        <f>landbouw!N8</f>
        <v>0</v>
      </c>
      <c r="O7" s="442">
        <f>landbouw!O8</f>
        <v>0</v>
      </c>
      <c r="P7" s="443">
        <f>landbouw!P8</f>
        <v>0</v>
      </c>
      <c r="Q7" s="441">
        <f t="shared" si="0"/>
        <v>11653.52818901204</v>
      </c>
    </row>
    <row r="8" spans="1:17">
      <c r="A8" s="441" t="s">
        <v>612</v>
      </c>
      <c r="B8" s="442">
        <f>industrie!B18</f>
        <v>4473.085</v>
      </c>
      <c r="C8" s="442">
        <f>industrie!C18</f>
        <v>0</v>
      </c>
      <c r="D8" s="442">
        <f>industrie!D18</f>
        <v>6309.8652320000001</v>
      </c>
      <c r="E8" s="442">
        <f>industrie!E18</f>
        <v>672.88873910427219</v>
      </c>
      <c r="F8" s="442">
        <f>industrie!F18</f>
        <v>2669.44677941994</v>
      </c>
      <c r="G8" s="442">
        <f>industrie!G18</f>
        <v>0</v>
      </c>
      <c r="H8" s="442">
        <f>industrie!H18</f>
        <v>0</v>
      </c>
      <c r="I8" s="442">
        <f>industrie!I18</f>
        <v>0</v>
      </c>
      <c r="J8" s="442">
        <f>industrie!J18</f>
        <v>10.460034168964395</v>
      </c>
      <c r="K8" s="442">
        <f>industrie!K18</f>
        <v>0</v>
      </c>
      <c r="L8" s="442">
        <f>industrie!L18</f>
        <v>0</v>
      </c>
      <c r="M8" s="442">
        <f>industrie!M18</f>
        <v>0</v>
      </c>
      <c r="N8" s="442">
        <f>industrie!N18</f>
        <v>401.86654165040875</v>
      </c>
      <c r="O8" s="442">
        <f>industrie!O18</f>
        <v>0</v>
      </c>
      <c r="P8" s="443">
        <f>industrie!P18</f>
        <v>0</v>
      </c>
      <c r="Q8" s="441">
        <f t="shared" si="0"/>
        <v>14537.612326343582</v>
      </c>
    </row>
    <row r="9" spans="1:17" s="447" customFormat="1">
      <c r="A9" s="445" t="s">
        <v>556</v>
      </c>
      <c r="B9" s="446">
        <f>transport!B14</f>
        <v>23.96824072151075</v>
      </c>
      <c r="C9" s="446">
        <f>transport!C14</f>
        <v>0</v>
      </c>
      <c r="D9" s="446">
        <f>transport!D14</f>
        <v>32.220814059027319</v>
      </c>
      <c r="E9" s="446">
        <f>transport!E14</f>
        <v>359.00401350231493</v>
      </c>
      <c r="F9" s="446">
        <f>transport!F14</f>
        <v>0</v>
      </c>
      <c r="G9" s="446">
        <f>transport!G14</f>
        <v>154578.54384829607</v>
      </c>
      <c r="H9" s="446">
        <f>transport!H14</f>
        <v>20453.316870400417</v>
      </c>
      <c r="I9" s="446">
        <f>transport!I14</f>
        <v>0</v>
      </c>
      <c r="J9" s="446">
        <f>transport!J14</f>
        <v>0</v>
      </c>
      <c r="K9" s="446">
        <f>transport!K14</f>
        <v>0</v>
      </c>
      <c r="L9" s="446">
        <f>transport!L14</f>
        <v>0</v>
      </c>
      <c r="M9" s="446">
        <f>transport!M14</f>
        <v>9585.9082476687581</v>
      </c>
      <c r="N9" s="446">
        <f>transport!N14</f>
        <v>0</v>
      </c>
      <c r="O9" s="446">
        <f>transport!O14</f>
        <v>0</v>
      </c>
      <c r="P9" s="446">
        <f>transport!P14</f>
        <v>0</v>
      </c>
      <c r="Q9" s="445">
        <f>SUM(B9:P9)</f>
        <v>185032.96203464811</v>
      </c>
    </row>
    <row r="10" spans="1:17">
      <c r="A10" s="441" t="s">
        <v>546</v>
      </c>
      <c r="B10" s="442">
        <f>transport!B54</f>
        <v>6.9985383399037504</v>
      </c>
      <c r="C10" s="442">
        <f>transport!C54</f>
        <v>0</v>
      </c>
      <c r="D10" s="442">
        <f>transport!D54</f>
        <v>0</v>
      </c>
      <c r="E10" s="442">
        <f>transport!E54</f>
        <v>0</v>
      </c>
      <c r="F10" s="442">
        <f>transport!F54</f>
        <v>0</v>
      </c>
      <c r="G10" s="442">
        <f>transport!G54</f>
        <v>1326.1306965930567</v>
      </c>
      <c r="H10" s="442">
        <f>transport!H54</f>
        <v>0</v>
      </c>
      <c r="I10" s="442">
        <f>transport!I54</f>
        <v>0</v>
      </c>
      <c r="J10" s="442">
        <f>transport!J54</f>
        <v>0</v>
      </c>
      <c r="K10" s="442">
        <f>transport!K54</f>
        <v>0</v>
      </c>
      <c r="L10" s="442">
        <f>transport!L54</f>
        <v>0</v>
      </c>
      <c r="M10" s="442">
        <f>transport!M54</f>
        <v>76.342739728967246</v>
      </c>
      <c r="N10" s="442">
        <f>transport!N54</f>
        <v>0</v>
      </c>
      <c r="O10" s="442">
        <f>transport!O54</f>
        <v>0</v>
      </c>
      <c r="P10" s="443">
        <f>transport!P54</f>
        <v>0</v>
      </c>
      <c r="Q10" s="441">
        <f t="shared" si="0"/>
        <v>1409.4719746619276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719.13199999999995</v>
      </c>
      <c r="C14" s="449"/>
      <c r="D14" s="449">
        <f>'SEAP template'!E25</f>
        <v>1330.92</v>
      </c>
      <c r="E14" s="449"/>
      <c r="F14" s="449"/>
      <c r="G14" s="449"/>
      <c r="H14" s="449"/>
      <c r="I14" s="449"/>
      <c r="J14" s="449"/>
      <c r="K14" s="449"/>
      <c r="L14" s="449"/>
      <c r="M14" s="449"/>
      <c r="N14" s="449"/>
      <c r="O14" s="449"/>
      <c r="P14" s="450"/>
      <c r="Q14" s="441">
        <f t="shared" si="0"/>
        <v>2050.0520000000001</v>
      </c>
    </row>
    <row r="15" spans="1:17" s="451" customFormat="1">
      <c r="A15" s="969" t="s">
        <v>550</v>
      </c>
      <c r="B15" s="909">
        <f ca="1">SUM(B4:B14)</f>
        <v>41997.708557758349</v>
      </c>
      <c r="C15" s="909">
        <f t="shared" ref="C15:Q15" ca="1" si="1">SUM(C4:C14)</f>
        <v>1283.7857142857144</v>
      </c>
      <c r="D15" s="909">
        <f t="shared" ca="1" si="1"/>
        <v>75025.72218005902</v>
      </c>
      <c r="E15" s="909">
        <f t="shared" si="1"/>
        <v>2085.3063169094467</v>
      </c>
      <c r="F15" s="909">
        <f t="shared" ca="1" si="1"/>
        <v>38202.142990985682</v>
      </c>
      <c r="G15" s="909">
        <f t="shared" si="1"/>
        <v>155904.67454488913</v>
      </c>
      <c r="H15" s="909">
        <f t="shared" si="1"/>
        <v>20453.316870400417</v>
      </c>
      <c r="I15" s="909">
        <f t="shared" si="1"/>
        <v>0</v>
      </c>
      <c r="J15" s="909">
        <f t="shared" si="1"/>
        <v>823.03101648567736</v>
      </c>
      <c r="K15" s="909">
        <f t="shared" si="1"/>
        <v>0</v>
      </c>
      <c r="L15" s="909">
        <f t="shared" ca="1" si="1"/>
        <v>0</v>
      </c>
      <c r="M15" s="909">
        <f t="shared" si="1"/>
        <v>9662.2509873977251</v>
      </c>
      <c r="N15" s="909">
        <f t="shared" ca="1" si="1"/>
        <v>5907.4047343088569</v>
      </c>
      <c r="O15" s="909">
        <f t="shared" si="1"/>
        <v>245.44333333333333</v>
      </c>
      <c r="P15" s="909">
        <f t="shared" si="1"/>
        <v>305.06666666666666</v>
      </c>
      <c r="Q15" s="909">
        <f t="shared" ca="1" si="1"/>
        <v>351895.85391348007</v>
      </c>
    </row>
    <row r="17" spans="1:17">
      <c r="A17" s="452" t="s">
        <v>551</v>
      </c>
      <c r="B17" s="715">
        <f ca="1">huishoudens!B10</f>
        <v>6.0510607599139198E-2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1304.4343553857652</v>
      </c>
      <c r="C22" s="442">
        <f t="shared" ref="C22:C32" ca="1" si="3">C4*$C$17</f>
        <v>0</v>
      </c>
      <c r="D22" s="442">
        <f t="shared" ref="D22:D32" si="4">D4*$D$17</f>
        <v>10633.617665220001</v>
      </c>
      <c r="E22" s="442">
        <f t="shared" ref="E22:E32" si="5">E4*$E$17</f>
        <v>179.52438304265314</v>
      </c>
      <c r="F22" s="442">
        <f t="shared" ref="F22:F32" si="6">F4*$F$17</f>
        <v>6661.3961781280168</v>
      </c>
      <c r="G22" s="442">
        <f t="shared" ref="G22:G32" si="7">G4*$G$17</f>
        <v>0</v>
      </c>
      <c r="H22" s="442">
        <f t="shared" ref="H22:H32" si="8">H4*$H$17</f>
        <v>0</v>
      </c>
      <c r="I22" s="442">
        <f t="shared" ref="I22:I32" si="9">I4*$I$17</f>
        <v>0</v>
      </c>
      <c r="J22" s="442">
        <f t="shared" ref="J22:J32" si="10">J4*$J$17</f>
        <v>205.96105453005407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18984.93363630649</v>
      </c>
    </row>
    <row r="23" spans="1:17">
      <c r="A23" s="441" t="s">
        <v>149</v>
      </c>
      <c r="B23" s="442">
        <f t="shared" ca="1" si="2"/>
        <v>711.76449336993869</v>
      </c>
      <c r="C23" s="442">
        <f t="shared" ca="1" si="3"/>
        <v>0</v>
      </c>
      <c r="D23" s="442">
        <f t="shared" ca="1" si="4"/>
        <v>2740.2570580000001</v>
      </c>
      <c r="E23" s="442">
        <f t="shared" si="5"/>
        <v>47.9423650023748</v>
      </c>
      <c r="F23" s="442">
        <f t="shared" ca="1" si="6"/>
        <v>751.6089602652354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4251.5728766375487</v>
      </c>
    </row>
    <row r="24" spans="1:17">
      <c r="A24" s="441" t="s">
        <v>187</v>
      </c>
      <c r="B24" s="442">
        <f t="shared" ca="1" si="2"/>
        <v>64.12672150926376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64.12672150926376</v>
      </c>
    </row>
    <row r="25" spans="1:17">
      <c r="A25" s="441" t="s">
        <v>105</v>
      </c>
      <c r="B25" s="442">
        <f t="shared" ca="1" si="2"/>
        <v>144.92326826358396</v>
      </c>
      <c r="C25" s="442">
        <f t="shared" ca="1" si="3"/>
        <v>0</v>
      </c>
      <c r="D25" s="442">
        <f t="shared" si="4"/>
        <v>231.373935848</v>
      </c>
      <c r="E25" s="442">
        <f t="shared" si="5"/>
        <v>11.658131051721199</v>
      </c>
      <c r="F25" s="442">
        <f t="shared" si="6"/>
        <v>2074.2247500948019</v>
      </c>
      <c r="G25" s="442">
        <f t="shared" si="7"/>
        <v>0</v>
      </c>
      <c r="H25" s="442">
        <f t="shared" si="8"/>
        <v>0</v>
      </c>
      <c r="I25" s="442">
        <f t="shared" si="9"/>
        <v>0</v>
      </c>
      <c r="J25" s="442">
        <f t="shared" si="10"/>
        <v>81.689073210062304</v>
      </c>
      <c r="K25" s="442">
        <f t="shared" si="11"/>
        <v>0</v>
      </c>
      <c r="L25" s="442">
        <f t="shared" si="12"/>
        <v>0</v>
      </c>
      <c r="M25" s="442">
        <f t="shared" si="13"/>
        <v>0</v>
      </c>
      <c r="N25" s="442">
        <f t="shared" si="14"/>
        <v>0</v>
      </c>
      <c r="O25" s="442">
        <f t="shared" si="15"/>
        <v>0</v>
      </c>
      <c r="P25" s="443">
        <f t="shared" si="16"/>
        <v>0</v>
      </c>
      <c r="Q25" s="441">
        <f t="shared" ca="1" si="17"/>
        <v>2543.8691584681696</v>
      </c>
    </row>
    <row r="26" spans="1:17">
      <c r="A26" s="441" t="s">
        <v>612</v>
      </c>
      <c r="B26" s="442">
        <f t="shared" ca="1" si="2"/>
        <v>270.66909119259554</v>
      </c>
      <c r="C26" s="442">
        <f t="shared" ca="1" si="3"/>
        <v>0</v>
      </c>
      <c r="D26" s="442">
        <f t="shared" si="4"/>
        <v>1274.5927768640001</v>
      </c>
      <c r="E26" s="442">
        <f t="shared" si="5"/>
        <v>152.7457437766698</v>
      </c>
      <c r="F26" s="442">
        <f t="shared" si="6"/>
        <v>712.74229010512397</v>
      </c>
      <c r="G26" s="442">
        <f t="shared" si="7"/>
        <v>0</v>
      </c>
      <c r="H26" s="442">
        <f t="shared" si="8"/>
        <v>0</v>
      </c>
      <c r="I26" s="442">
        <f t="shared" si="9"/>
        <v>0</v>
      </c>
      <c r="J26" s="442">
        <f t="shared" si="10"/>
        <v>3.7028520958133955</v>
      </c>
      <c r="K26" s="442">
        <f t="shared" si="11"/>
        <v>0</v>
      </c>
      <c r="L26" s="442">
        <f t="shared" si="12"/>
        <v>0</v>
      </c>
      <c r="M26" s="442">
        <f t="shared" si="13"/>
        <v>0</v>
      </c>
      <c r="N26" s="442">
        <f t="shared" si="14"/>
        <v>0</v>
      </c>
      <c r="O26" s="442">
        <f t="shared" si="15"/>
        <v>0</v>
      </c>
      <c r="P26" s="443">
        <f t="shared" si="16"/>
        <v>0</v>
      </c>
      <c r="Q26" s="441">
        <f t="shared" ca="1" si="17"/>
        <v>2414.4527540342028</v>
      </c>
    </row>
    <row r="27" spans="1:17" s="447" customFormat="1">
      <c r="A27" s="445" t="s">
        <v>556</v>
      </c>
      <c r="B27" s="709">
        <f t="shared" ca="1" si="2"/>
        <v>1.4503328091410459</v>
      </c>
      <c r="C27" s="446">
        <f t="shared" ca="1" si="3"/>
        <v>0</v>
      </c>
      <c r="D27" s="446">
        <f t="shared" si="4"/>
        <v>6.508604439923519</v>
      </c>
      <c r="E27" s="446">
        <f t="shared" si="5"/>
        <v>81.493911065025486</v>
      </c>
      <c r="F27" s="446">
        <f t="shared" si="6"/>
        <v>0</v>
      </c>
      <c r="G27" s="446">
        <f t="shared" si="7"/>
        <v>41272.471207495051</v>
      </c>
      <c r="H27" s="446">
        <f t="shared" si="8"/>
        <v>5092.875900729704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46454.799956538845</v>
      </c>
    </row>
    <row r="28" spans="1:17">
      <c r="A28" s="441" t="s">
        <v>546</v>
      </c>
      <c r="B28" s="442">
        <f t="shared" ca="1" si="2"/>
        <v>0.42348580725344692</v>
      </c>
      <c r="C28" s="442">
        <f t="shared" ca="1" si="3"/>
        <v>0</v>
      </c>
      <c r="D28" s="442">
        <f t="shared" si="4"/>
        <v>0</v>
      </c>
      <c r="E28" s="442">
        <f t="shared" si="5"/>
        <v>0</v>
      </c>
      <c r="F28" s="442">
        <f t="shared" si="6"/>
        <v>0</v>
      </c>
      <c r="G28" s="442">
        <f t="shared" si="7"/>
        <v>354.07689599034615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354.50038179759957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43.515114263984167</v>
      </c>
      <c r="C32" s="442">
        <f t="shared" ca="1" si="3"/>
        <v>0</v>
      </c>
      <c r="D32" s="442">
        <f t="shared" si="4"/>
        <v>268.84584000000001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312.36095426398418</v>
      </c>
    </row>
    <row r="33" spans="1:17" s="451" customFormat="1">
      <c r="A33" s="969" t="s">
        <v>550</v>
      </c>
      <c r="B33" s="909">
        <f ca="1">SUM(B22:B32)</f>
        <v>2541.3068626015261</v>
      </c>
      <c r="C33" s="909">
        <f t="shared" ref="C33:Q33" ca="1" si="18">SUM(C22:C32)</f>
        <v>0</v>
      </c>
      <c r="D33" s="909">
        <f t="shared" ca="1" si="18"/>
        <v>15155.195880371923</v>
      </c>
      <c r="E33" s="909">
        <f t="shared" si="18"/>
        <v>473.36453393844442</v>
      </c>
      <c r="F33" s="909">
        <f t="shared" ca="1" si="18"/>
        <v>10199.972178593178</v>
      </c>
      <c r="G33" s="909">
        <f t="shared" si="18"/>
        <v>41626.548103485395</v>
      </c>
      <c r="H33" s="909">
        <f t="shared" si="18"/>
        <v>5092.875900729704</v>
      </c>
      <c r="I33" s="909">
        <f t="shared" si="18"/>
        <v>0</v>
      </c>
      <c r="J33" s="909">
        <f t="shared" si="18"/>
        <v>291.35297983592977</v>
      </c>
      <c r="K33" s="909">
        <f t="shared" si="18"/>
        <v>0</v>
      </c>
      <c r="L33" s="909">
        <f t="shared" ca="1" si="18"/>
        <v>0</v>
      </c>
      <c r="M33" s="909">
        <f t="shared" si="18"/>
        <v>0</v>
      </c>
      <c r="N33" s="909">
        <f t="shared" ca="1" si="18"/>
        <v>0</v>
      </c>
      <c r="O33" s="909">
        <f t="shared" si="18"/>
        <v>0</v>
      </c>
      <c r="P33" s="909">
        <f t="shared" si="18"/>
        <v>0</v>
      </c>
      <c r="Q33" s="909">
        <f t="shared" ca="1" si="18"/>
        <v>75380.616439556106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24176.78066596196</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5018.1518166763635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898.65</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1057.2352941176471</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405</v>
      </c>
      <c r="C9" s="986">
        <f>'SEAP template'!C77</f>
        <v>0</v>
      </c>
      <c r="D9" s="986">
        <f>'SEAP template'!D77</f>
        <v>0</v>
      </c>
      <c r="E9" s="986">
        <f>'SEAP template'!E77</f>
        <v>0</v>
      </c>
      <c r="F9" s="986">
        <f>'SEAP template'!F77</f>
        <v>0</v>
      </c>
      <c r="G9" s="986">
        <f>'SEAP template'!G77</f>
        <v>0</v>
      </c>
      <c r="H9" s="986">
        <f>'SEAP template'!H77</f>
        <v>0</v>
      </c>
      <c r="I9" s="986">
        <f>'SEAP template'!I77</f>
        <v>1012.5</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30498.582482638325</v>
      </c>
      <c r="C10" s="990">
        <f>SUM(C4:C9)</f>
        <v>0</v>
      </c>
      <c r="D10" s="990">
        <f t="shared" ref="D10:H10" si="0">SUM(D8:D9)</f>
        <v>0</v>
      </c>
      <c r="E10" s="990">
        <f t="shared" si="0"/>
        <v>0</v>
      </c>
      <c r="F10" s="990">
        <f t="shared" si="0"/>
        <v>0</v>
      </c>
      <c r="G10" s="990">
        <f t="shared" si="0"/>
        <v>0</v>
      </c>
      <c r="H10" s="990">
        <f t="shared" si="0"/>
        <v>0</v>
      </c>
      <c r="I10" s="990">
        <f>SUM(I8:I9)</f>
        <v>1012.5</v>
      </c>
      <c r="J10" s="990">
        <f>SUM(J8:J9)</f>
        <v>1057.2352941176471</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6.0510607599139198E-2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1283.7857142857144</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1510.3361344537818</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1283.7857142857144</v>
      </c>
      <c r="C20" s="990">
        <f>SUM(C17:C19)</f>
        <v>0</v>
      </c>
      <c r="D20" s="990">
        <f t="shared" ref="D20:H20" si="2">SUM(D17:D19)</f>
        <v>0</v>
      </c>
      <c r="E20" s="990">
        <f t="shared" si="2"/>
        <v>0</v>
      </c>
      <c r="F20" s="990">
        <f t="shared" si="2"/>
        <v>0</v>
      </c>
      <c r="G20" s="990">
        <f t="shared" si="2"/>
        <v>0</v>
      </c>
      <c r="H20" s="990">
        <f t="shared" si="2"/>
        <v>0</v>
      </c>
      <c r="I20" s="990">
        <f>SUM(I17:I19)</f>
        <v>0</v>
      </c>
      <c r="J20" s="990">
        <f>SUM(J17:J19)</f>
        <v>1510.3361344537818</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6.0510607599139198E-2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1</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19.066666666666666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2022-07-26T11:37:29Z</dcterms:modified>
</cp:coreProperties>
</file>