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A919B6D-F63F-4F43-B00F-62D4DC6D008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<sst xmlns="http://schemas.openxmlformats.org/spreadsheetml/2006/main" count="2436" uniqueCount="907">
  <si>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</si>
  <si>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</si>
  <si>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</si>
  <si>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</si>
  <si>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</si>
  <si>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</si>
  <si>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</si>
  <si>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</si>
  <si>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</si>
  <si>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</si>
  <si>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</si>
  <si>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</si>
  <si>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</si>
  <si>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</si>
  <si>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</si>
  <si>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</si>
  <si>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</si>
  <si>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</si>
  <si>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</si>
  <si>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</si>
  <si>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</si>
  <si>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</si>
  <si>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</si>
  <si>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</si>
  <si>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</si>
  <si>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</si>
  <si>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</si>
  <si>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</si>
  <si>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</si>
  <si>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</si>
  <si>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</si>
  <si>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</si>
  <si>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</si>
  <si>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</si>
  <si>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</si>
  <si>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</si>
  <si>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</si>
  <si>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</si>
  <si>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</si>
  <si>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</si>
  <si>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</si>
  <si>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</si>
  <si>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</si>
  <si>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</si>
  <si>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</si>
  <si>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</si>
  <si>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</si>
  <si>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</si>
  <si>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</si>
  <si>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</si>
  <si>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</si>
  <si>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</si>
  <si>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</si>
  <si>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</si>
  <si>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</si>
  <si>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</si>
  <si>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</si>
  <si>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</si>
  <si>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</si>
  <si>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</si>
  <si>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</si>
  <si>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</si>
  <si>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</si>
  <si>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</si>
  <si>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</si>
  <si>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</si>
  <si>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</si>
  <si>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</si>
  <si>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</si>
  <si>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</si>
  <si>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</si>
  <si>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</si>
  <si>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</si>
  <si>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</si>
  <si>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</si>
  <si>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</si>
  <si>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</si>
  <si>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</si>
  <si>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</si>
  <si>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</si>
  <si>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</si>
  <si>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</si>
  <si>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</si>
  <si>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</si>
  <si>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</si>
  <si>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</si>
  <si>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</si>
  <si>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</si>
  <si>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</si>
  <si>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</si>
  <si>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</si>
  <si>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</si>
  <si>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</si>
  <si>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</si>
  <si>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</si>
  <si>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</si>
  <si>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</si>
  <si>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</si>
  <si>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</si>
  <si>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</si>
  <si>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</si>
  <si>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</si>
  <si>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</si>
  <si>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</si>
  <si>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</si>
  <si>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</si>
  <si>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</si>
  <si>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</si>
  <si>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</si>
  <si>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</si>
  <si>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</si>
  <si>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</si>
  <si>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</si>
  <si>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</si>
  <si>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</si>
  <si>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</si>
  <si>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</si>
  <si>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</si>
  <si>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</si>
  <si>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</si>
  <si>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</si>
  <si>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</si>
  <si>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</si>
  <si>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</si>
  <si>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</si>
  <si>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</si>
  <si>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</si>
  <si>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</si>
  <si>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</si>
  <si>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</si>
  <si>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</si>
  <si>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</si>
  <si>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</si>
  <si>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</si>
  <si>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</si>
  <si>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</si>
  <si>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</si>
  <si>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</si>
  <si>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</si>
  <si>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</si>
  <si>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</si>
  <si>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</si>
  <si>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</si>
  <si>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</si>
  <si>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</si>
  <si>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</si>
  <si>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</si>
  <si>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</si>
  <si>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</si>
  <si>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</si>
  <si>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</si>
  <si>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</si>
  <si>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</si>
  <si>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</si>
  <si>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</si>
  <si>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</si>
  <si>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</si>
  <si>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</si>
  <si>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</si>
  <si>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</si>
  <si>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</si>
  <si>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</si>
  <si>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</si>
  <si>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</si>
  <si>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</si>
  <si>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</si>
  <si>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</si>
  <si>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</si>
  <si>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</si>
  <si>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</si>
  <si>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</si>
  <si>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</si>
  <si>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</si>
  <si>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</si>
  <si>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</si>
  <si>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</si>
  <si>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</si>
  <si>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</si>
  <si>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</si>
  <si>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</si>
  <si>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</si>
  <si>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</si>
  <si>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</si>
  <si>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</si>
  <si>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</si>
  <si>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</si>
  <si>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</si>
  <si>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</si>
  <si>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</si>
  <si>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</si>
  <si>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</si>
  <si>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</si>
  <si>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</si>
  <si>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</si>
  <si>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</si>
  <si>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</si>
  <si>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</si>
  <si>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</si>
  <si>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</si>
  <si>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</si>
  <si>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</si>
  <si>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</si>
  <si>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</si>
  <si>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</si>
  <si>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</si>
  <si>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</si>
  <si>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</si>
  <si>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</si>
  <si>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</si>
  <si>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</si>
  <si>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</si>
  <si>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</si>
  <si>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</si>
  <si>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</si>
  <si>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</si>
  <si>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</si>
  <si>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</si>
  <si>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</si>
  <si>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</si>
  <si>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</si>
  <si>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</si>
  <si>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</si>
  <si>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</si>
  <si>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</si>
  <si>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</si>
  <si>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</si>
  <si>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</si>
  <si>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</si>
  <si>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</si>
  <si>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</si>
  <si>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</si>
  <si>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</si>
  <si>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</si>
  <si>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</si>
  <si>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</si>
  <si>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</si>
  <si>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</si>
  <si>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</si>
  <si>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</si>
  <si>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</si>
  <si>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</si>
  <si>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</si>
  <si>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</si>
  <si>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</si>
  <si>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</si>
  <si>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</si>
  <si>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</si>
  <si>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</si>
  <si>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</si>
  <si>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</si>
  <si>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</si>
  <si>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</si>
  <si>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</si>
  <si>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</si>
  <si>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</si>
  <si>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</si>
  <si>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</si>
  <si>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</si>
  <si>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</si>
  <si>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</si>
  <si>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</si>
  <si>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</si>
  <si>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</si>
  <si>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</si>
  <si>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</si>
  <si>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</si>
  <si>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</si>
  <si>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</si>
  <si>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</si>
  <si>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</si>
  <si>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</si>
  <si>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</si>
  <si>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</si>
  <si>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</si>
  <si>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</si>
  <si>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</si>
  <si>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</si>
  <si>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</si>
  <si>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</si>
  <si>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</si>
  <si>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</si>
  <si>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</si>
  <si>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</si>
  <si>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</si>
  <si>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</si>
  <si>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</si>
  <si>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</si>
  <si>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</si>
  <si>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</si>
  <si>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</si>
  <si>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</si>
  <si>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</si>
  <si>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</si>
  <si>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</si>
  <si>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</si>
  <si>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</si>
  <si>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</si>
  <si>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</si>
  <si>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</si>
  <si>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</si>
  <si>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</si>
  <si>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</si>
  <si>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</si>
  <si>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</si>
  <si>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</si>
  <si>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</si>
  <si>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</si>
  <si>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</si>
  <si>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</si>
  <si>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</si>
  <si>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</si>
  <si>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</si>
  <si>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</si>
  <si>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</si>
  <si>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</si>
  <si>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</si>
  <si>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</si>
  <si>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</si>
  <si>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</si>
  <si>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</si>
  <si>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</si>
  <si>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</si>
  <si>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</si>
  <si>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</si>
  <si>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</si>
  <si>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</si>
  <si>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</si>
  <si>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</si>
  <si>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</si>
  <si>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</si>
  <si>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</si>
  <si>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</si>
  <si>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</si>
  <si>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</si>
  <si>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</si>
  <si>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</si>
  <si>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</si>
  <si>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</si>
  <si>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</si>
  <si>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</si>
  <si>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</si>
  <si>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</si>
  <si>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</si>
  <si>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</si>
  <si>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</si>
  <si>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</si>
  <si>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</si>
  <si>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</si>
  <si>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</si>
  <si>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</si>
  <si>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</si>
  <si>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</si>
  <si>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</si>
  <si>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</si>
  <si>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</si>
  <si>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</si>
  <si>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</si>
  <si>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</si>
  <si>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</si>
  <si>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</si>
  <si>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</si>
  <si>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</si>
  <si>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</si>
  <si>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</si>
  <si>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</si>
  <si>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</si>
  <si>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</si>
  <si>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</si>
  <si>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</si>
  <si>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</si>
  <si>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</si>
  <si>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</si>
  <si>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</si>
  <si>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</si>
  <si>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</si>
  <si>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</si>
  <si>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</si>
  <si>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</si>
  <si>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</si>
  <si>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</si>
  <si>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</si>
  <si>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</si>
  <si>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</si>
  <si>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</si>
  <si>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</si>
  <si>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</si>
  <si>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</si>
  <si>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</si>
  <si>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</si>
  <si>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</si>
  <si>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</si>
  <si>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</si>
  <si>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</si>
  <si>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</si>
  <si>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</si>
  <si>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</si>
  <si>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</si>
  <si>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</si>
  <si>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</si>
  <si>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</si>
  <si>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</si>
  <si>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</si>
  <si>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</si>
  <si>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</si>
  <si>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</si>
  <si>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</si>
  <si>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</si>
  <si>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</si>
  <si>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</si>
  <si>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</si>
  <si>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</si>
  <si>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</si>
  <si>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</si>
  <si>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</si>
  <si>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</si>
  <si>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</si>
  <si>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</si>
  <si>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</si>
  <si>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</si>
  <si>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</si>
  <si>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</si>
  <si>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</si>
  <si>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</si>
  <si>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</si>
  <si>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</si>
  <si>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</si>
  <si>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</si>
  <si>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</si>
  <si>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</si>
  <si>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</si>
  <si>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</si>
  <si>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</si>
  <si>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</si>
  <si>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</si>
  <si>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</si>
  <si>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</si>
  <si>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</si>
  <si>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</si>
  <si>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</si>
  <si>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</si>
  <si>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</si>
  <si>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</si>
  <si>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</si>
  <si>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</si>
  <si>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</si>
  <si>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</si>
  <si>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</si>
  <si>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</si>
  <si>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</si>
  <si>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</si>
  <si>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</si>
  <si>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</si>
  <si>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</si>
  <si>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</si>
  <si>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</si>
  <si>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</si>
  <si>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</si>
  <si>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</si>
  <si>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</si>
  <si>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</si>
  <si>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</si>
  <si>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</si>
  <si>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</si>
  <si>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</si>
  <si>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</si>
  <si>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</si>
  <si>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</si>
  <si>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</si>
  <si>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</si>
  <si>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</si>
  <si>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</si>
  <si>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</si>
  <si>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</si>
  <si>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</si>
  <si>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</si>
  <si>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</si>
  <si>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</si>
  <si>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</si>
  <si>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</si>
  <si>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</si>
  <si>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</si>
  <si>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</si>
  <si>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</si>
  <si>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</si>
  <si>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</si>
  <si>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</si>
  <si>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</si>
  <si>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</si>
  <si>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</si>
  <si>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</si>
  <si>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</si>
  <si>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</si>
  <si>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</si>
  <si>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</si>
  <si>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</si>
  <si>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</si>
  <si>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</si>
  <si>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</si>
  <si>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</si>
  <si>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</si>
  <si>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</si>
  <si>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</si>
  <si>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</si>
  <si>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</si>
  <si>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</si>
  <si>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</si>
  <si>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</si>
  <si>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</si>
  <si>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</si>
  <si>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</si>
  <si>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</si>
  <si>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</si>
  <si>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</si>
  <si>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</si>
  <si>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</si>
  <si>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</si>
  <si>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</si>
  <si>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</si>
  <si>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</si>
  <si>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</si>
  <si>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</si>
  <si>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</si>
  <si>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</si>
  <si>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</si>
  <si>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</si>
  <si>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</si>
  <si>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</si>
  <si>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</si>
  <si>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</si>
  <si>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</si>
  <si>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</si>
  <si>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</si>
  <si>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</si>
  <si>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</si>
  <si>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</si>
  <si>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</si>
  <si>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</si>
  <si>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</si>
  <si>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</si>
  <si>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</si>
  <si>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</si>
  <si>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</si>
  <si>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</si>
  <si>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</si>
  <si>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</si>
  <si>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</si>
  <si>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</si>
  <si>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</si>
  <si>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</si>
  <si>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</si>
  <si>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</si>
  <si>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</si>
  <si>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</si>
  <si>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</si>
  <si>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</si>
  <si>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</si>
  <si>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</si>
  <si>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</si>
  <si>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</si>
  <si>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</si>
  <si>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</si>
  <si>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</si>
  <si>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</si>
  <si>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</si>
  <si>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</si>
  <si>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</si>
  <si>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</si>
  <si>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</si>
  <si>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</si>
  <si>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</si>
  <si>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</si>
  <si>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</si>
  <si>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</si>
  <si>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</si>
  <si>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</si>
  <si>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</si>
  <si>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</si>
  <si>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</si>
  <si>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</si>
  <si>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</si>
  <si>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</si>
  <si>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</si>
  <si>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</si>
  <si>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</si>
  <si>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</si>
  <si>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</si>
  <si>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</si>
  <si>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</si>
  <si>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</si>
  <si>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</si>
  <si>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</si>
  <si>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</si>
  <si>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</si>
  <si>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</si>
  <si>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</si>
  <si>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</si>
  <si>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</si>
  <si>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</si>
  <si>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</si>
  <si>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</si>
  <si>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</si>
  <si>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</si>
  <si>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</si>
  <si>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</si>
  <si>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</si>
  <si>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</si>
  <si>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</si>
  <si>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</si>
  <si>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</si>
  <si>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</si>
  <si>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</si>
  <si>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</si>
  <si>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</si>
  <si>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</si>
  <si>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</si>
  <si>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</si>
  <si>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</si>
  <si>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</si>
  <si>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</si>
  <si>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</si>
  <si>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</si>
  <si>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</si>
  <si>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</si>
  <si>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</si>
  <si>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</si>
  <si>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</si>
  <si>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</si>
  <si>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</si>
  <si>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</si>
  <si>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</si>
  <si>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</si>
  <si>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</si>
  <si>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</si>
  <si>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</si>
  <si>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</si>
  <si>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</si>
  <si>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</si>
  <si>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</si>
  <si>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</si>
  <si>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</si>
  <si>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</si>
  <si>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</si>
  <si>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</si>
  <si>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</si>
  <si>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</si>
  <si>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</si>
  <si>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</si>
  <si>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</si>
  <si>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</si>
  <si>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</si>
  <si>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</si>
  <si>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</si>
  <si>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</si>
  <si>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</si>
  <si>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</si>
  <si>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</si>
  <si>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</si>
  <si>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</si>
  <si>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</si>
  <si>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</si>
  <si>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</si>
  <si>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</si>
  <si>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</si>
  <si>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</si>
  <si>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</si>
  <si>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</si>
  <si>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</si>
  <si>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</si>
  <si>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</si>
  <si>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</si>
  <si>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</si>
  <si>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</si>
  <si>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</si>
  <si>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</si>
  <si>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</si>
  <si>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</si>
  <si>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</si>
  <si>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</si>
  <si>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</si>
  <si>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</si>
  <si>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</si>
  <si>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</si>
  <si>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</si>
  <si>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</si>
  <si>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</si>
  <si>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</si>
  <si>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</si>
  <si>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</si>
  <si>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</si>
  <si>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</si>
  <si>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</si>
  <si>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</si>
  <si>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</si>
  <si>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</si>
  <si>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</si>
  <si>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</si>
  <si>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</si>
  <si>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</si>
  <si>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</si>
  <si>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</si>
  <si>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</si>
  <si>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</si>
  <si>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</si>
  <si>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</si>
  <si>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</si>
  <si>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</si>
  <si>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</si>
  <si>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</si>
  <si>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</si>
  <si>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</si>
  <si>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</si>
  <si>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</si>
  <si>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</si>
  <si>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</si>
  <si>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</si>
  <si>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</si>
  <si>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</si>
  <si>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</si>
  <si>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</si>
  <si>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</si>
  <si>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</si>
  <si>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</si>
  <si>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</si>
  <si>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</si>
  <si>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</si>
  <si>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</si>
  <si>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</si>
  <si>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</si>
  <si>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</si>
  <si>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</si>
  <si>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</si>
  <si>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</si>
  <si>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</si>
  <si>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</si>
  <si>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</si>
  <si>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</si>
  <si>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</si>
  <si>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</si>
  <si>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</si>
  <si>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</si>
  <si>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</si>
  <si>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</si>
  <si>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</si>
  <si>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</si>
  <si>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</si>
  <si>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</si>
  <si>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</si>
  <si>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</si>
  <si>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</si>
  <si>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</si>
  <si>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</si>
  <si>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</si>
  <si>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</si>
  <si>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</si>
  <si>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</si>
  <si>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</si>
  <si>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</si>
  <si>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</si>
  <si>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</si>
  <si>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</si>
  <si>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</si>
  <si>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</si>
  <si>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</si>
  <si>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</si>
  <si>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</si>
  <si>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</si>
  <si>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</si>
  <si>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</si>
  <si>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</si>
  <si>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</si>
  <si>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</si>
  <si>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</si>
  <si>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</si>
  <si>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</si>
  <si>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</si>
  <si>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</si>
  <si>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</si>
  <si>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</si>
  <si>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</si>
  <si>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</si>
  <si>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</si>
  <si>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</si>
  <si>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</si>
  <si>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</si>
  <si>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</si>
  <si>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</si>
  <si>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</si>
  <si>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</si>
  <si>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</si>
  <si>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</si>
  <si>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</si>
  <si>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</si>
  <si>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</si>
  <si>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</si>
  <si>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</si>
  <si>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</si>
  <si>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</si>
  <si>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</si>
  <si>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</si>
  <si>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</si>
  <si>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</si>
  <si>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</si>
  <si>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</si>
  <si>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</si>
  <si>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</si>
  <si>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</si>
  <si>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</si>
  <si>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</si>
  <si>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</si>
  <si>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</si>
  <si>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</si>
  <si>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</si>
  <si>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</si>
  <si>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</si>
  <si>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</si>
  <si>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</si>
  <si>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</si>
  <si>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</si>
  <si>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</si>
  <si>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</si>
  <si>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</si>
  <si>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</si>
  <si>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</si>
  <si>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</si>
  <si>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</si>
  <si>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</si>
  <si>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</si>
  <si>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</si>
  <si>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</si>
  <si>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</si>
  <si>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</si>
  <si>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</si>
  <si>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</si>
  <si>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</si>
  <si>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</si>
  <si>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</si>
  <si>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</si>
  <si>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</si>
  <si>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</si>
  <si>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</si>
  <si>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</si>
  <si>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</si>
  <si>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</si>
  <si>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</si>
  <si>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</si>
  <si>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</si>
  <si>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</si>
  <si>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</si>
  <si>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</si>
  <si>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</si>
  <si>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</si>
  <si>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</si>
  <si>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</si>
  <si>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</si>
  <si>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</si>
  <si>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</si>
  <si>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</si>
  <si>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</si>
  <si>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</si>
  <si>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</si>
  <si>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</si>
  <si>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</si>
  <si>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</si>
  <si>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</si>
  <si>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</si>
  <si>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</si>
  <si>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</si>
  <si>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</si>
  <si>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</si>
  <si>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</si>
  <si>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</si>
  <si>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</si>
  <si>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</si>
  <si>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</si>
  <si>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</si>
  <si>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</si>
  <si>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</si>
  <si>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</si>
  <si>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</si>
  <si>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</si>
  <si>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</si>
  <si>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</si>
  <si>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</si>
  <si>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</si>
  <si>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</si>
  <si>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</si>
  <si>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</si>
  <si>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</si>
  <si>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</si>
  <si>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</si>
  <si>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</si>
  <si>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</si>
  <si>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</si>
  <si>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</si>
  <si>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</si>
  <si>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</si>
  <si>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</si>
  <si>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</si>
  <si>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</si>
  <si>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34025</t>
  </si>
  <si>
    <t>LENDELEDE</t>
  </si>
  <si>
    <t>Paarden&amp;pony's 200 - 600 kg</t>
  </si>
  <si>
    <t>Paarden&amp;pony's &lt; 200 kg</t>
  </si>
  <si>
    <t>vloeibaar gas (MWh)</t>
  </si>
  <si>
    <t>biogas - stortgas</t>
  </si>
  <si>
    <t>niet WKK interne verbrandingsmotor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</si>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</sst>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8820D72-8BB6-4C6E-A5B9-488AA8585D3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47805.720643632747</c:v>
                </c:pt>
                <c:pt idx="1">
                  <c:v>12075.165108157542</c:v>
                </c:pt>
                <c:pt idx="2">
                  <c:v>456.601</c:v>
                </c:pt>
                <c:pt idx="3">
                  <c:v>4748.5194609016517</c:v>
                </c:pt>
                <c:pt idx="4">
                  <c:v>76399.35941898411</c:v>
                </c:pt>
                <c:pt idx="5">
                  <c:v>29107.272642584096</c:v>
                </c:pt>
                <c:pt idx="6">
                  <c:v>161.79552062112117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47805.720643632747</c:v>
                </c:pt>
                <c:pt idx="1">
                  <c:v>12075.165108157542</c:v>
                </c:pt>
                <c:pt idx="2">
                  <c:v>456.601</c:v>
                </c:pt>
                <c:pt idx="3">
                  <c:v>4748.5194609016517</c:v>
                </c:pt>
                <c:pt idx="4">
                  <c:v>76399.35941898411</c:v>
                </c:pt>
                <c:pt idx="5">
                  <c:v>29107.272642584096</c:v>
                </c:pt>
                <c:pt idx="6">
                  <c:v>161.79552062112117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9927.9793756408071</c:v>
                </c:pt>
                <c:pt idx="2">
                  <c:v>2475.2264078795683</c:v>
                </c:pt>
                <c:pt idx="3">
                  <c:v>91.161455224667236</c:v>
                </c:pt>
                <c:pt idx="4">
                  <c:v>1180.0492643647774</c:v>
                </c:pt>
                <c:pt idx="5">
                  <c:v>15744.726029075684</c:v>
                </c:pt>
                <c:pt idx="6">
                  <c:v>7295.6614229349543</c:v>
                </c:pt>
                <c:pt idx="7">
                  <c:v>40.805443114684039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9927.9793756408071</c:v>
                </c:pt>
                <c:pt idx="2">
                  <c:v>2475.2264078795683</c:v>
                </c:pt>
                <c:pt idx="3">
                  <c:v>91.161455224667236</c:v>
                </c:pt>
                <c:pt idx="4">
                  <c:v>1180.0492643647774</c:v>
                </c:pt>
                <c:pt idx="5">
                  <c:v>15744.726029075684</c:v>
                </c:pt>
                <c:pt idx="6">
                  <c:v>7295.6614229349543</c:v>
                </c:pt>
                <c:pt idx="7">
                  <c:v>40.805443114684039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34025</v>
      </c>
      <c r="B6" s="381"/>
      <c r="C6" s="382"/>
    </row>
    <row r="7" spans="1:7" s="379" customFormat="1" ht="15.75" customHeight="1">
      <c r="A7" s="383" t="str">
        <f>txtMunicipality</f>
        <v>LENDELEDE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0.1996523337107611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0.1996523337107611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2337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859</v>
      </c>
      <c r="C14" s="322"/>
      <c r="D14" s="322"/>
      <c r="E14" s="322"/>
      <c r="F14" s="322"/>
    </row>
    <row r="15" spans="1:6">
      <c r="A15" s="1261" t="s">
        <v>177</v>
      </c>
      <c r="B15" s="1262">
        <v>15</v>
      </c>
      <c r="C15" s="322"/>
      <c r="D15" s="322"/>
      <c r="E15" s="322"/>
      <c r="F15" s="322"/>
    </row>
    <row r="16" spans="1:6">
      <c r="A16" s="1261" t="s">
        <v>6</v>
      </c>
      <c r="B16" s="1262">
        <v>587</v>
      </c>
      <c r="C16" s="322"/>
      <c r="D16" s="322"/>
      <c r="E16" s="322"/>
      <c r="F16" s="322"/>
    </row>
    <row r="17" spans="1:6">
      <c r="A17" s="1261" t="s">
        <v>7</v>
      </c>
      <c r="B17" s="1262">
        <v>121</v>
      </c>
      <c r="C17" s="322"/>
      <c r="D17" s="322"/>
      <c r="E17" s="322"/>
      <c r="F17" s="322"/>
    </row>
    <row r="18" spans="1:6">
      <c r="A18" s="1261" t="s">
        <v>8</v>
      </c>
      <c r="B18" s="1262">
        <v>288</v>
      </c>
      <c r="C18" s="322"/>
      <c r="D18" s="322"/>
      <c r="E18" s="322"/>
      <c r="F18" s="322"/>
    </row>
    <row r="19" spans="1:6">
      <c r="A19" s="1261" t="s">
        <v>9</v>
      </c>
      <c r="B19" s="1262">
        <v>285</v>
      </c>
      <c r="C19" s="322"/>
      <c r="D19" s="322"/>
      <c r="E19" s="322"/>
      <c r="F19" s="322"/>
    </row>
    <row r="20" spans="1:6">
      <c r="A20" s="1261" t="s">
        <v>10</v>
      </c>
      <c r="B20" s="1262">
        <v>316</v>
      </c>
      <c r="C20" s="322"/>
      <c r="D20" s="322"/>
      <c r="E20" s="322"/>
      <c r="F20" s="322"/>
    </row>
    <row r="21" spans="1:6">
      <c r="A21" s="1261" t="s">
        <v>11</v>
      </c>
      <c r="B21" s="1262">
        <v>1437</v>
      </c>
      <c r="C21" s="322"/>
      <c r="D21" s="322"/>
      <c r="E21" s="322"/>
      <c r="F21" s="322"/>
    </row>
    <row r="22" spans="1:6">
      <c r="A22" s="1261" t="s">
        <v>12</v>
      </c>
      <c r="B22" s="1262">
        <v>7598</v>
      </c>
      <c r="C22" s="322"/>
      <c r="D22" s="322"/>
      <c r="E22" s="322"/>
      <c r="F22" s="322"/>
    </row>
    <row r="23" spans="1:6">
      <c r="A23" s="1261" t="s">
        <v>13</v>
      </c>
      <c r="B23" s="1262">
        <v>144</v>
      </c>
      <c r="C23" s="322"/>
      <c r="D23" s="322"/>
      <c r="E23" s="322"/>
      <c r="F23" s="322"/>
    </row>
    <row r="24" spans="1:6">
      <c r="A24" s="1261" t="s">
        <v>14</v>
      </c>
      <c r="B24" s="1262">
        <v>6</v>
      </c>
      <c r="C24" s="322"/>
      <c r="D24" s="322"/>
      <c r="E24" s="322"/>
      <c r="F24" s="322"/>
    </row>
    <row r="25" spans="1:6">
      <c r="A25" s="1261" t="s">
        <v>15</v>
      </c>
      <c r="B25" s="1262">
        <v>445</v>
      </c>
      <c r="C25" s="322"/>
      <c r="D25" s="322"/>
      <c r="E25" s="322"/>
      <c r="F25" s="322"/>
    </row>
    <row r="26" spans="1:6">
      <c r="A26" s="1261" t="s">
        <v>16</v>
      </c>
      <c r="B26" s="1262">
        <v>15</v>
      </c>
      <c r="C26" s="322"/>
      <c r="D26" s="322"/>
      <c r="E26" s="322"/>
      <c r="F26" s="322"/>
    </row>
    <row r="27" spans="1:6">
      <c r="A27" s="1261" t="s">
        <v>17</v>
      </c>
      <c r="B27" s="1262">
        <v>0</v>
      </c>
      <c r="C27" s="322"/>
      <c r="D27" s="322"/>
      <c r="E27" s="322"/>
      <c r="F27" s="322"/>
    </row>
    <row r="28" spans="1:6">
      <c r="A28" s="1261" t="s">
        <v>18</v>
      </c>
      <c r="B28" s="1263">
        <v>69886</v>
      </c>
      <c r="C28" s="322"/>
      <c r="D28" s="322"/>
      <c r="E28" s="322"/>
      <c r="F28" s="322"/>
    </row>
    <row r="29" spans="1:6">
      <c r="A29" s="1261" t="s">
        <v>901</v>
      </c>
      <c r="B29" s="1263">
        <v>37</v>
      </c>
      <c r="C29" s="322"/>
      <c r="D29" s="322"/>
      <c r="E29" s="322"/>
      <c r="F29" s="322"/>
    </row>
    <row r="30" spans="1:6">
      <c r="A30" s="1256" t="s">
        <v>902</v>
      </c>
      <c r="B30" s="1264">
        <v>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8809</v>
      </c>
    </row>
    <row r="37" spans="1:6">
      <c r="A37" s="1261" t="s">
        <v>24</v>
      </c>
      <c r="B37" s="1261" t="s">
        <v>27</v>
      </c>
      <c r="C37" s="1262">
        <v>0</v>
      </c>
      <c r="D37" s="1262">
        <v>0</v>
      </c>
      <c r="E37" s="1262">
        <v>0</v>
      </c>
      <c r="F37" s="1262">
        <v>0</v>
      </c>
    </row>
    <row r="38" spans="1:6">
      <c r="A38" s="1261" t="s">
        <v>24</v>
      </c>
      <c r="B38" s="1261" t="s">
        <v>28</v>
      </c>
      <c r="C38" s="1262">
        <v>1</v>
      </c>
      <c r="D38" s="1262">
        <v>79025</v>
      </c>
      <c r="E38" s="1262">
        <v>2</v>
      </c>
      <c r="F38" s="1262">
        <v>15503</v>
      </c>
    </row>
    <row r="39" spans="1:6">
      <c r="A39" s="1261" t="s">
        <v>29</v>
      </c>
      <c r="B39" s="1261" t="s">
        <v>30</v>
      </c>
      <c r="C39" s="1262">
        <v>1637</v>
      </c>
      <c r="D39" s="1262">
        <v>24432711</v>
      </c>
      <c r="E39" s="1262">
        <v>2221</v>
      </c>
      <c r="F39" s="1262">
        <v>8613324</v>
      </c>
    </row>
    <row r="40" spans="1:6">
      <c r="A40" s="1261" t="s">
        <v>29</v>
      </c>
      <c r="B40" s="1261" t="s">
        <v>28</v>
      </c>
      <c r="C40" s="1262">
        <v>0</v>
      </c>
      <c r="D40" s="1262">
        <v>0</v>
      </c>
      <c r="E40" s="1262">
        <v>0</v>
      </c>
      <c r="F40" s="1262">
        <v>0</v>
      </c>
    </row>
    <row r="41" spans="1:6">
      <c r="A41" s="1261" t="s">
        <v>31</v>
      </c>
      <c r="B41" s="1261" t="s">
        <v>32</v>
      </c>
      <c r="C41" s="1262">
        <v>27</v>
      </c>
      <c r="D41" s="1262">
        <v>672508</v>
      </c>
      <c r="E41" s="1262">
        <v>76</v>
      </c>
      <c r="F41" s="1262">
        <v>806913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210575</v>
      </c>
      <c r="E44" s="1262">
        <v>16</v>
      </c>
      <c r="F44" s="1262">
        <v>387699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v>
      </c>
      <c r="D48" s="1262">
        <v>5632</v>
      </c>
      <c r="E48" s="1262">
        <v>3</v>
      </c>
      <c r="F48" s="1262">
        <v>107351</v>
      </c>
    </row>
    <row r="49" spans="1:6">
      <c r="A49" s="1261" t="s">
        <v>31</v>
      </c>
      <c r="B49" s="1261" t="s">
        <v>39</v>
      </c>
      <c r="C49" s="1262">
        <v>7</v>
      </c>
      <c r="D49" s="1262">
        <v>203276</v>
      </c>
      <c r="E49" s="1262">
        <v>13</v>
      </c>
      <c r="F49" s="1262">
        <v>2018694</v>
      </c>
    </row>
    <row r="50" spans="1:6">
      <c r="A50" s="1261" t="s">
        <v>31</v>
      </c>
      <c r="B50" s="1261" t="s">
        <v>40</v>
      </c>
      <c r="C50" s="1262">
        <v>7</v>
      </c>
      <c r="D50" s="1262">
        <v>19195362</v>
      </c>
      <c r="E50" s="1262">
        <v>14</v>
      </c>
      <c r="F50" s="1262">
        <v>15525004</v>
      </c>
    </row>
    <row r="51" spans="1:6">
      <c r="A51" s="1261" t="s">
        <v>41</v>
      </c>
      <c r="B51" s="1261" t="s">
        <v>42</v>
      </c>
      <c r="C51" s="1262">
        <v>10</v>
      </c>
      <c r="D51" s="1262">
        <v>490158</v>
      </c>
      <c r="E51" s="1262">
        <v>66</v>
      </c>
      <c r="F51" s="1262">
        <v>987372</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25</v>
      </c>
      <c r="F54" s="1262">
        <v>456601</v>
      </c>
    </row>
    <row r="55" spans="1:6">
      <c r="A55" s="1261" t="s">
        <v>45</v>
      </c>
      <c r="B55" s="1261" t="s">
        <v>28</v>
      </c>
      <c r="C55" s="1262">
        <v>0</v>
      </c>
      <c r="D55" s="1262">
        <v>0</v>
      </c>
      <c r="E55" s="1262">
        <v>0</v>
      </c>
      <c r="F55" s="1262">
        <v>0</v>
      </c>
    </row>
    <row r="56" spans="1:6">
      <c r="A56" s="1261" t="s">
        <v>47</v>
      </c>
      <c r="B56" s="1261" t="s">
        <v>28</v>
      </c>
      <c r="C56" s="1262">
        <v>12</v>
      </c>
      <c r="D56" s="1262">
        <v>233229</v>
      </c>
      <c r="E56" s="1262">
        <v>45</v>
      </c>
      <c r="F56" s="1262">
        <v>147923</v>
      </c>
    </row>
    <row r="57" spans="1:6">
      <c r="A57" s="1261" t="s">
        <v>48</v>
      </c>
      <c r="B57" s="1261" t="s">
        <v>49</v>
      </c>
      <c r="C57" s="1262">
        <v>23</v>
      </c>
      <c r="D57" s="1262">
        <v>1312435</v>
      </c>
      <c r="E57" s="1262">
        <v>31</v>
      </c>
      <c r="F57" s="1262">
        <v>272813</v>
      </c>
    </row>
    <row r="58" spans="1:6">
      <c r="A58" s="1261" t="s">
        <v>48</v>
      </c>
      <c r="B58" s="1261" t="s">
        <v>50</v>
      </c>
      <c r="C58" s="1262">
        <v>5</v>
      </c>
      <c r="D58" s="1262">
        <v>1100185</v>
      </c>
      <c r="E58" s="1262">
        <v>7</v>
      </c>
      <c r="F58" s="1262">
        <v>394284</v>
      </c>
    </row>
    <row r="59" spans="1:6">
      <c r="A59" s="1261" t="s">
        <v>48</v>
      </c>
      <c r="B59" s="1261" t="s">
        <v>51</v>
      </c>
      <c r="C59" s="1262">
        <v>41</v>
      </c>
      <c r="D59" s="1262">
        <v>1582026</v>
      </c>
      <c r="E59" s="1262">
        <v>85</v>
      </c>
      <c r="F59" s="1262">
        <v>2272936</v>
      </c>
    </row>
    <row r="60" spans="1:6">
      <c r="A60" s="1261" t="s">
        <v>48</v>
      </c>
      <c r="B60" s="1261" t="s">
        <v>52</v>
      </c>
      <c r="C60" s="1262">
        <v>9</v>
      </c>
      <c r="D60" s="1262">
        <v>192320</v>
      </c>
      <c r="E60" s="1262">
        <v>13</v>
      </c>
      <c r="F60" s="1262">
        <v>235057</v>
      </c>
    </row>
    <row r="61" spans="1:6">
      <c r="A61" s="1261" t="s">
        <v>48</v>
      </c>
      <c r="B61" s="1261" t="s">
        <v>53</v>
      </c>
      <c r="C61" s="1262">
        <v>50</v>
      </c>
      <c r="D61" s="1262">
        <v>1158528</v>
      </c>
      <c r="E61" s="1262">
        <v>107</v>
      </c>
      <c r="F61" s="1262">
        <v>1012975</v>
      </c>
    </row>
    <row r="62" spans="1:6">
      <c r="A62" s="1261" t="s">
        <v>48</v>
      </c>
      <c r="B62" s="1261" t="s">
        <v>54</v>
      </c>
      <c r="C62" s="1262">
        <v>3</v>
      </c>
      <c r="D62" s="1262">
        <v>613506</v>
      </c>
      <c r="E62" s="1262">
        <v>3</v>
      </c>
      <c r="F62" s="1262">
        <v>124018</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60978</v>
      </c>
      <c r="E68" s="1264">
        <v>7</v>
      </c>
      <c r="F68" s="1264">
        <v>46421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17759132</v>
      </c>
      <c r="E73" s="440"/>
      <c r="F73" s="322"/>
    </row>
    <row r="74" spans="1:6">
      <c r="A74" s="1261" t="s">
        <v>63</v>
      </c>
      <c r="B74" s="1261" t="s">
        <v>670</v>
      </c>
      <c r="C74" s="1274" t="s">
        <v>672</v>
      </c>
      <c r="D74" s="1262">
        <v>2083330.2402657766</v>
      </c>
      <c r="E74" s="440"/>
      <c r="F74" s="322"/>
    </row>
    <row r="75" spans="1:6">
      <c r="A75" s="1261" t="s">
        <v>64</v>
      </c>
      <c r="B75" s="1261" t="s">
        <v>669</v>
      </c>
      <c r="C75" s="1274" t="s">
        <v>673</v>
      </c>
      <c r="D75" s="1262">
        <v>10715909</v>
      </c>
      <c r="E75" s="440"/>
      <c r="F75" s="322"/>
    </row>
    <row r="76" spans="1:6">
      <c r="A76" s="1261" t="s">
        <v>64</v>
      </c>
      <c r="B76" s="1261" t="s">
        <v>670</v>
      </c>
      <c r="C76" s="1274" t="s">
        <v>674</v>
      </c>
      <c r="D76" s="1262">
        <v>777102.24026577652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43455.519468446888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1319.8732629079159</v>
      </c>
      <c r="C91" s="322"/>
      <c r="D91" s="322"/>
      <c r="E91" s="322"/>
      <c r="F91" s="322"/>
    </row>
    <row r="92" spans="1:6">
      <c r="A92" s="1256" t="s">
        <v>68</v>
      </c>
      <c r="B92" s="1257">
        <v>681.12984158146446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1043</v>
      </c>
      <c r="C97" s="322"/>
      <c r="D97" s="322"/>
      <c r="E97" s="322"/>
      <c r="F97" s="322"/>
    </row>
    <row r="98" spans="1:6">
      <c r="A98" s="1261" t="s">
        <v>71</v>
      </c>
      <c r="B98" s="1262">
        <v>0</v>
      </c>
      <c r="C98" s="322"/>
      <c r="D98" s="322"/>
      <c r="E98" s="322"/>
      <c r="F98" s="322"/>
    </row>
    <row r="99" spans="1:6">
      <c r="A99" s="1261" t="s">
        <v>72</v>
      </c>
      <c r="B99" s="1262">
        <v>25</v>
      </c>
      <c r="C99" s="322"/>
      <c r="D99" s="322"/>
      <c r="E99" s="322"/>
      <c r="F99" s="322"/>
    </row>
    <row r="100" spans="1:6">
      <c r="A100" s="1261" t="s">
        <v>73</v>
      </c>
      <c r="B100" s="1262">
        <v>168</v>
      </c>
      <c r="C100" s="322"/>
      <c r="D100" s="322"/>
      <c r="E100" s="322"/>
      <c r="F100" s="322"/>
    </row>
    <row r="101" spans="1:6">
      <c r="A101" s="1261" t="s">
        <v>74</v>
      </c>
      <c r="B101" s="1262">
        <v>52</v>
      </c>
      <c r="C101" s="322"/>
      <c r="D101" s="322"/>
      <c r="E101" s="322"/>
      <c r="F101" s="322"/>
    </row>
    <row r="102" spans="1:6">
      <c r="A102" s="1261" t="s">
        <v>75</v>
      </c>
      <c r="B102" s="1262">
        <v>35</v>
      </c>
      <c r="C102" s="322"/>
      <c r="D102" s="322"/>
      <c r="E102" s="322"/>
      <c r="F102" s="322"/>
    </row>
    <row r="103" spans="1:6">
      <c r="A103" s="1261" t="s">
        <v>76</v>
      </c>
      <c r="B103" s="1262">
        <v>81</v>
      </c>
      <c r="C103" s="322"/>
      <c r="D103" s="322"/>
      <c r="E103" s="322"/>
      <c r="F103" s="322"/>
    </row>
    <row r="104" spans="1:6">
      <c r="A104" s="1261" t="s">
        <v>77</v>
      </c>
      <c r="B104" s="1262">
        <v>647</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v>
      </c>
      <c r="C123" s="1262">
        <v>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52</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36181.738819924722</v>
      </c>
      <c r="C3" s="43" t="s">
        <v>163</v>
      </c>
      <c r="D3" s="43"/>
      <c r="E3" s="153"/>
      <c r="F3" s="43"/>
      <c r="G3" s="43"/>
      <c r="H3" s="43"/>
      <c r="I3" s="43"/>
      <c r="J3" s="43"/>
      <c r="K3" s="96"/>
    </row>
    <row r="4" spans="1:11">
      <c r="A4" s="349" t="s">
        <v>164</v>
      </c>
      <c r="B4" s="49">
        <f>IF(ISERROR('SEAP template'!B78+'SEAP template'!C78),0,'SEAP template'!B78+'SEAP template'!C78)</f>
        <v>3495.0031044893803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0.1996523337107611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456.601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456.601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0.1996523337107611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91.161455224667236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8613.3240000000005</v>
      </c>
      <c r="C5" s="17">
        <f>IF(ISERROR('Eigen informatie GS &amp; warmtenet'!B57),0,'Eigen informatie GS &amp; warmtenet'!B57)</f>
        <v>0</v>
      </c>
      <c r="D5" s="30">
        <f>(SUM(HH_hh_gas_kWh,HH_rest_gas_kWh)/1000)*0.902</f>
        <v>22038.305322</v>
      </c>
      <c r="E5" s="17">
        <f>B32*B41</f>
        <v>392.01809982587838</v>
      </c>
      <c r="F5" s="17">
        <f>B36*B45</f>
        <v>12366.948029366644</v>
      </c>
      <c r="G5" s="18"/>
      <c r="H5" s="17"/>
      <c r="I5" s="17"/>
      <c r="J5" s="17">
        <f>B35*B44+C35*C44</f>
        <v>288.39676086589913</v>
      </c>
      <c r="K5" s="17"/>
      <c r="L5" s="17"/>
      <c r="M5" s="17"/>
      <c r="N5" s="17">
        <f>B34*B43+C34*C43</f>
        <v>2637.4185019997467</v>
      </c>
      <c r="O5" s="17">
        <f>B52*B53*B54</f>
        <v>92.236666666666679</v>
      </c>
      <c r="P5" s="17">
        <f>B60*B61*B62/1000-B60*B61*B62/1000/B63</f>
        <v>57.2</v>
      </c>
    </row>
    <row r="6" spans="1:16">
      <c r="A6" s="16" t="s">
        <v>593</v>
      </c>
      <c r="B6" s="717">
        <f>kWh_PV_kleiner_dan_10kW</f>
        <v>1319.8732629079159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9933.1972629079173</v>
      </c>
      <c r="C8" s="21">
        <f>C5</f>
        <v>0</v>
      </c>
      <c r="D8" s="21">
        <f>D5</f>
        <v>22038.305322</v>
      </c>
      <c r="E8" s="21">
        <f>E5</f>
        <v>392.01809982587838</v>
      </c>
      <c r="F8" s="21">
        <f>F5</f>
        <v>12366.948029366644</v>
      </c>
      <c r="G8" s="21"/>
      <c r="H8" s="21"/>
      <c r="I8" s="21"/>
      <c r="J8" s="21">
        <f>J5</f>
        <v>288.39676086589913</v>
      </c>
      <c r="K8" s="21"/>
      <c r="L8" s="21">
        <f>L5</f>
        <v>0</v>
      </c>
      <c r="M8" s="21">
        <f>M5</f>
        <v>0</v>
      </c>
      <c r="N8" s="21">
        <f>N5</f>
        <v>2637.4185019997467</v>
      </c>
      <c r="O8" s="21">
        <f>O5</f>
        <v>92.236666666666679</v>
      </c>
      <c r="P8" s="21">
        <f>P5</f>
        <v>57.2</v>
      </c>
    </row>
    <row r="9" spans="1:16">
      <c r="B9" s="19"/>
      <c r="C9" s="19"/>
      <c r="D9" s="253"/>
      <c r="E9" s="19"/>
      <c r="F9" s="19"/>
      <c r="G9" s="19"/>
      <c r="H9" s="19"/>
      <c r="I9" s="19"/>
      <c r="J9" s="19"/>
      <c r="K9" s="19"/>
      <c r="L9" s="19"/>
      <c r="M9" s="19"/>
      <c r="N9" s="19"/>
      <c r="O9" s="19"/>
      <c r="P9" s="19"/>
    </row>
    <row r="10" spans="1:16">
      <c r="A10" s="24" t="s">
        <v>207</v>
      </c>
      <c r="B10" s="25">
        <f ca="1">'EF ele_warmte'!B12</f>
        <v>0.1996523337107611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1983.1860147489103</v>
      </c>
      <c r="C12" s="23">
        <f ca="1">C10*C8</f>
        <v>0</v>
      </c>
      <c r="D12" s="23">
        <f>D8*D10</f>
        <v>4451.7376750440008</v>
      </c>
      <c r="E12" s="23">
        <f>E10*E8</f>
        <v>88.988108660474396</v>
      </c>
      <c r="F12" s="23">
        <f>F10*F8</f>
        <v>3301.975123840894</v>
      </c>
      <c r="G12" s="23"/>
      <c r="H12" s="23"/>
      <c r="I12" s="23"/>
      <c r="J12" s="23">
        <f>J10*J8</f>
        <v>102.09245334652829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2337</v>
      </c>
      <c r="C26" s="36"/>
      <c r="D26" s="224"/>
    </row>
    <row r="27" spans="1:5" s="15" customFormat="1">
      <c r="A27" s="226" t="s">
        <v>696</v>
      </c>
      <c r="B27" s="37">
        <f>SUM(HH_hh_gas_aantal,HH_rest_gas_aantal)</f>
        <v>1637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1555.15</v>
      </c>
      <c r="C31" s="34" t="s">
        <v>104</v>
      </c>
      <c r="D31" s="170"/>
    </row>
    <row r="32" spans="1:5">
      <c r="A32" s="167" t="s">
        <v>72</v>
      </c>
      <c r="B32" s="33">
        <f>IF((B21*($B$26-($B$27-0.05*$B$27)-$B$60))&lt;0,0,B21*($B$26-($B$27-0.05*$B$27)-$B$60))</f>
        <v>4.9108209471746225</v>
      </c>
      <c r="C32" s="34" t="s">
        <v>104</v>
      </c>
      <c r="D32" s="170"/>
    </row>
    <row r="33" spans="1:6">
      <c r="A33" s="167" t="s">
        <v>73</v>
      </c>
      <c r="B33" s="33">
        <f>IF((B22*($B$26-($B$27-0.05*$B$27)-$B$60))&lt;0,0,B22*($B$26-($B$27-0.05*$B$27)-$B$60))</f>
        <v>171.01262499108574</v>
      </c>
      <c r="C33" s="34" t="s">
        <v>104</v>
      </c>
      <c r="D33" s="170"/>
    </row>
    <row r="34" spans="1:6">
      <c r="A34" s="167" t="s">
        <v>74</v>
      </c>
      <c r="B34" s="33">
        <f>IF((B24*($B$26-($B$27-0.05*$B$27)-$B$60))&lt;0,0,B24*($B$26-($B$27-0.05*$B$27)-$B$60))</f>
        <v>33.945249513586859</v>
      </c>
      <c r="C34" s="33">
        <f>B26*C24</f>
        <v>478.14945782605412</v>
      </c>
      <c r="D34" s="229"/>
    </row>
    <row r="35" spans="1:6">
      <c r="A35" s="167" t="s">
        <v>76</v>
      </c>
      <c r="B35" s="33">
        <f>IF((B19*($B$26-($B$27-0.05*$B$27)-$B$60))&lt;0,0,B19*($B$26-($B$27-0.05*$B$27)-$B$60))</f>
        <v>16.584184839417357</v>
      </c>
      <c r="C35" s="33">
        <f>B35/2</f>
        <v>8.2920924197086787</v>
      </c>
      <c r="D35" s="229"/>
    </row>
    <row r="36" spans="1:6">
      <c r="A36" s="167" t="s">
        <v>77</v>
      </c>
      <c r="B36" s="33">
        <f>IF((B18*($B$26-($B$27-0.05*$B$27)-$B$60))&lt;0,0,B18*($B$26-($B$27-0.05*$B$27)-$B$60))</f>
        <v>552.39711970873554</v>
      </c>
      <c r="C36" s="34" t="s">
        <v>104</v>
      </c>
      <c r="D36" s="170"/>
    </row>
    <row r="37" spans="1:6">
      <c r="A37" s="167" t="s">
        <v>78</v>
      </c>
      <c r="B37" s="33">
        <f>B60</f>
        <v>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4312.0829999999996</v>
      </c>
      <c r="C5" s="17">
        <f>IF(ISERROR('Eigen informatie GS &amp; warmtenet'!B58),0,'Eigen informatie GS &amp; warmtenet'!B58)</f>
        <v>0</v>
      </c>
      <c r="D5" s="30">
        <f>SUM(D6:D12)</f>
        <v>5375.0179999999991</v>
      </c>
      <c r="E5" s="17">
        <f>SUM(E6:E12)</f>
        <v>73.303891671802447</v>
      </c>
      <c r="F5" s="17">
        <f>SUM(F6:F12)</f>
        <v>800.13021648573886</v>
      </c>
      <c r="G5" s="18"/>
      <c r="H5" s="17"/>
      <c r="I5" s="17"/>
      <c r="J5" s="17">
        <f>SUM(J6:J12)</f>
        <v>0</v>
      </c>
      <c r="K5" s="17"/>
      <c r="L5" s="17"/>
      <c r="M5" s="17"/>
      <c r="N5" s="17">
        <f>SUM(N6:N12)</f>
        <v>144.82913930680448</v>
      </c>
      <c r="O5" s="17">
        <f>B38*B39*B40</f>
        <v>1.5633333333333335</v>
      </c>
      <c r="P5" s="17">
        <f>B46*B47*B48/1000-B46*B47*B48/1000/B49</f>
        <v>19.066666666666666</v>
      </c>
      <c r="R5" s="32"/>
    </row>
    <row r="6" spans="1:18">
      <c r="A6" s="32" t="s">
        <v>53</v>
      </c>
      <c r="B6" s="37">
        <f>B26</f>
        <v>1012.975</v>
      </c>
      <c r="C6" s="33"/>
      <c r="D6" s="37">
        <f>IF(ISERROR(TER_kantoor_gas_kWh/1000),0,TER_kantoor_gas_kWh/1000)*0.902</f>
        <v>1044.992256</v>
      </c>
      <c r="E6" s="33">
        <f>$C$26*'E Balans VL '!I12/100/3.6*1000000</f>
        <v>1.4205951524094934E-2</v>
      </c>
      <c r="F6" s="33">
        <f>$C$26*('E Balans VL '!L12+'E Balans VL '!N12)/100/3.6*1000000</f>
        <v>140.80186280832913</v>
      </c>
      <c r="G6" s="34"/>
      <c r="H6" s="33"/>
      <c r="I6" s="33"/>
      <c r="J6" s="33">
        <f>$C$26*('E Balans VL '!D12+'E Balans VL '!E12)/100/3.6*1000000</f>
        <v>0</v>
      </c>
      <c r="K6" s="33"/>
      <c r="L6" s="33"/>
      <c r="M6" s="33"/>
      <c r="N6" s="33">
        <f>$C$26*'E Balans VL '!Y12/100/3.6*1000000</f>
        <v>12.53737153854075</v>
      </c>
      <c r="O6" s="33"/>
      <c r="P6" s="33"/>
      <c r="R6" s="32"/>
    </row>
    <row r="7" spans="1:18">
      <c r="A7" s="32" t="s">
        <v>52</v>
      </c>
      <c r="B7" s="37">
        <f t="shared" ref="B7:B12" si="0">B27</f>
        <v>235.05699999999999</v>
      </c>
      <c r="C7" s="33"/>
      <c r="D7" s="37">
        <f>IF(ISERROR(TER_horeca_gas_kWh/1000),0,TER_horeca_gas_kWh/1000)*0.902</f>
        <v>173.47264000000001</v>
      </c>
      <c r="E7" s="33">
        <f>$C$27*'E Balans VL '!I9/100/3.6*1000000</f>
        <v>3.3552600291370953</v>
      </c>
      <c r="F7" s="33">
        <f>$C$27*('E Balans VL '!L9+'E Balans VL '!N9)/100/3.6*1000000</f>
        <v>36.54191182452773</v>
      </c>
      <c r="G7" s="34"/>
      <c r="H7" s="33"/>
      <c r="I7" s="33"/>
      <c r="J7" s="33">
        <f>$C$27*('E Balans VL '!D9+'E Balans VL '!E9)/100/3.6*1000000</f>
        <v>0</v>
      </c>
      <c r="K7" s="33"/>
      <c r="L7" s="33"/>
      <c r="M7" s="33"/>
      <c r="N7" s="33">
        <f>$C$27*'E Balans VL '!Y9/100/3.6*1000000</f>
        <v>6.05704904744752E-2</v>
      </c>
      <c r="O7" s="33"/>
      <c r="P7" s="33"/>
      <c r="R7" s="32"/>
    </row>
    <row r="8" spans="1:18">
      <c r="A8" s="6" t="s">
        <v>51</v>
      </c>
      <c r="B8" s="37">
        <f t="shared" si="0"/>
        <v>2272.9360000000001</v>
      </c>
      <c r="C8" s="33"/>
      <c r="D8" s="37">
        <f>IF(ISERROR(TER_handel_gas_kWh/1000),0,TER_handel_gas_kWh/1000)*0.902</f>
        <v>1426.9874520000001</v>
      </c>
      <c r="E8" s="33">
        <f>$C$28*'E Balans VL '!I13/100/3.6*1000000</f>
        <v>61.51754036056608</v>
      </c>
      <c r="F8" s="33">
        <f>$C$28*('E Balans VL '!L13+'E Balans VL '!N13)/100/3.6*1000000</f>
        <v>352.94460693510518</v>
      </c>
      <c r="G8" s="34"/>
      <c r="H8" s="33"/>
      <c r="I8" s="33"/>
      <c r="J8" s="33">
        <f>$C$28*('E Balans VL '!D13+'E Balans VL '!E13)/100/3.6*1000000</f>
        <v>0</v>
      </c>
      <c r="K8" s="33"/>
      <c r="L8" s="33"/>
      <c r="M8" s="33"/>
      <c r="N8" s="33">
        <f>$C$28*'E Balans VL '!Y13/100/3.6*1000000</f>
        <v>18.416871778152196</v>
      </c>
      <c r="O8" s="33"/>
      <c r="P8" s="33"/>
      <c r="R8" s="32"/>
    </row>
    <row r="9" spans="1:18">
      <c r="A9" s="32" t="s">
        <v>50</v>
      </c>
      <c r="B9" s="37">
        <f t="shared" si="0"/>
        <v>394.28399999999999</v>
      </c>
      <c r="C9" s="33"/>
      <c r="D9" s="37">
        <f>IF(ISERROR(TER_gezond_gas_kWh/1000),0,TER_gezond_gas_kWh/1000)*0.902</f>
        <v>992.36686999999995</v>
      </c>
      <c r="E9" s="33">
        <f>$C$29*'E Balans VL '!I10/100/3.6*1000000</f>
        <v>2.4603116641255043E-2</v>
      </c>
      <c r="F9" s="33">
        <f>$C$29*('E Balans VL '!L10+'E Balans VL '!N10)/100/3.6*1000000</f>
        <v>51.043817916467752</v>
      </c>
      <c r="G9" s="34"/>
      <c r="H9" s="33"/>
      <c r="I9" s="33"/>
      <c r="J9" s="33">
        <f>$C$29*('E Balans VL '!D10+'E Balans VL '!E10)/100/3.6*1000000</f>
        <v>0</v>
      </c>
      <c r="K9" s="33"/>
      <c r="L9" s="33"/>
      <c r="M9" s="33"/>
      <c r="N9" s="33">
        <f>$C$29*'E Balans VL '!Y10/100/3.6*1000000</f>
        <v>3.2327435073586379</v>
      </c>
      <c r="O9" s="33"/>
      <c r="P9" s="33"/>
      <c r="R9" s="32"/>
    </row>
    <row r="10" spans="1:18">
      <c r="A10" s="32" t="s">
        <v>49</v>
      </c>
      <c r="B10" s="37">
        <f t="shared" si="0"/>
        <v>272.81299999999999</v>
      </c>
      <c r="C10" s="33"/>
      <c r="D10" s="37">
        <f>IF(ISERROR(TER_ander_gas_kWh/1000),0,TER_ander_gas_kWh/1000)*0.902</f>
        <v>1183.81637</v>
      </c>
      <c r="E10" s="33">
        <f>$C$30*'E Balans VL '!I14/100/3.6*1000000</f>
        <v>8.2360971048309466</v>
      </c>
      <c r="F10" s="33">
        <f>$C$30*('E Balans VL '!L14+'E Balans VL '!N14)/100/3.6*1000000</f>
        <v>172.73097016994234</v>
      </c>
      <c r="G10" s="34"/>
      <c r="H10" s="33"/>
      <c r="I10" s="33"/>
      <c r="J10" s="33">
        <f>$C$30*('E Balans VL '!D14+'E Balans VL '!E14)/100/3.6*1000000</f>
        <v>0</v>
      </c>
      <c r="K10" s="33"/>
      <c r="L10" s="33"/>
      <c r="M10" s="33"/>
      <c r="N10" s="33">
        <f>$C$30*'E Balans VL '!Y14/100/3.6*1000000</f>
        <v>110.42453604035671</v>
      </c>
      <c r="O10" s="33"/>
      <c r="P10" s="33"/>
      <c r="R10" s="32"/>
    </row>
    <row r="11" spans="1:18">
      <c r="A11" s="32" t="s">
        <v>54</v>
      </c>
      <c r="B11" s="37">
        <f t="shared" si="0"/>
        <v>124.018</v>
      </c>
      <c r="C11" s="33"/>
      <c r="D11" s="37">
        <f>IF(ISERROR(TER_onderwijs_gas_kWh/1000),0,TER_onderwijs_gas_kWh/1000)*0.902</f>
        <v>553.38241200000004</v>
      </c>
      <c r="E11" s="33">
        <f>$C$31*'E Balans VL '!I11/100/3.6*1000000</f>
        <v>0.15618510910295824</v>
      </c>
      <c r="F11" s="33">
        <f>$C$31*('E Balans VL '!L11+'E Balans VL '!N11)/100/3.6*1000000</f>
        <v>46.067046831366682</v>
      </c>
      <c r="G11" s="34"/>
      <c r="H11" s="33"/>
      <c r="I11" s="33"/>
      <c r="J11" s="33">
        <f>$C$31*('E Balans VL '!D11+'E Balans VL '!E11)/100/3.6*1000000</f>
        <v>0</v>
      </c>
      <c r="K11" s="33"/>
      <c r="L11" s="33"/>
      <c r="M11" s="33"/>
      <c r="N11" s="33">
        <f>$C$31*'E Balans VL '!Y11/100/3.6*1000000</f>
        <v>0.15704595192169596</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1494</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-4268.5714285714284</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5806.0829999999996</v>
      </c>
      <c r="C16" s="21">
        <f t="shared" ca="1" si="1"/>
        <v>0</v>
      </c>
      <c r="D16" s="21">
        <f t="shared" ca="1" si="1"/>
        <v>5375.0179999999991</v>
      </c>
      <c r="E16" s="21">
        <f t="shared" si="1"/>
        <v>73.303891671802447</v>
      </c>
      <c r="F16" s="21">
        <f t="shared" ca="1" si="1"/>
        <v>800.13021648573886</v>
      </c>
      <c r="G16" s="21">
        <f t="shared" si="1"/>
        <v>0</v>
      </c>
      <c r="H16" s="21">
        <f t="shared" si="1"/>
        <v>0</v>
      </c>
      <c r="I16" s="21">
        <f t="shared" si="1"/>
        <v>0</v>
      </c>
      <c r="J16" s="21">
        <f t="shared" si="1"/>
        <v>0</v>
      </c>
      <c r="K16" s="21">
        <f t="shared" si="1"/>
        <v>0</v>
      </c>
      <c r="L16" s="21">
        <f t="shared" ca="1" si="1"/>
        <v>0</v>
      </c>
      <c r="M16" s="21">
        <f t="shared" si="1"/>
        <v>0</v>
      </c>
      <c r="N16" s="21">
        <f t="shared" ca="1" si="1"/>
        <v>0</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0.1996523337107611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1159.1980206683768</v>
      </c>
      <c r="C20" s="23">
        <f t="shared" ref="C20:P20" ca="1" si="2">C16*C18</f>
        <v>0</v>
      </c>
      <c r="D20" s="23">
        <f t="shared" ca="1" si="2"/>
        <v>1085.7536359999999</v>
      </c>
      <c r="E20" s="23">
        <f t="shared" si="2"/>
        <v>16.639983409499155</v>
      </c>
      <c r="F20" s="23">
        <f t="shared" ca="1" si="2"/>
        <v>213.63476780169228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1012.975</v>
      </c>
      <c r="C26" s="39">
        <f>IF(ISERROR(B26*3.6/1000000/'E Balans VL '!Z12*100),0,B26*3.6/1000000/'E Balans VL '!Z12*100)</f>
        <v>2.7514299094681102E-2</v>
      </c>
      <c r="D26" s="232" t="s">
        <v>651</v>
      </c>
      <c r="F26" s="6"/>
    </row>
    <row r="27" spans="1:18">
      <c r="A27" s="227" t="s">
        <v>52</v>
      </c>
      <c r="B27" s="33">
        <f>IF(ISERROR(TER_horeca_ele_kWh/1000),0,TER_horeca_ele_kWh/1000)</f>
        <v>235.05699999999999</v>
      </c>
      <c r="C27" s="39">
        <f>IF(ISERROR(B27*3.6/1000000/'E Balans VL '!Z9*100),0,B27*3.6/1000000/'E Balans VL '!Z9*100)</f>
        <v>1.8888660732382653E-2</v>
      </c>
      <c r="D27" s="232" t="s">
        <v>651</v>
      </c>
      <c r="F27" s="6"/>
    </row>
    <row r="28" spans="1:18">
      <c r="A28" s="167" t="s">
        <v>51</v>
      </c>
      <c r="B28" s="33">
        <f>IF(ISERROR(TER_handel_ele_kWh/1000),0,TER_handel_ele_kWh/1000)</f>
        <v>2272.9360000000001</v>
      </c>
      <c r="C28" s="39">
        <f>IF(ISERROR(B28*3.6/1000000/'E Balans VL '!Z13*100),0,B28*3.6/1000000/'E Balans VL '!Z13*100)</f>
        <v>6.7131455454431013E-2</v>
      </c>
      <c r="D28" s="232" t="s">
        <v>651</v>
      </c>
      <c r="F28" s="6"/>
    </row>
    <row r="29" spans="1:18">
      <c r="A29" s="227" t="s">
        <v>50</v>
      </c>
      <c r="B29" s="33">
        <f>IF(ISERROR(TER_gezond_ele_kWh/1000),0,TER_gezond_ele_kWh/1000)</f>
        <v>394.28399999999999</v>
      </c>
      <c r="C29" s="39">
        <f>IF(ISERROR(B29*3.6/1000000/'E Balans VL '!Z10*100),0,B29*3.6/1000000/'E Balans VL '!Z10*100)</f>
        <v>4.5092681074533236E-2</v>
      </c>
      <c r="D29" s="232" t="s">
        <v>651</v>
      </c>
      <c r="F29" s="6"/>
    </row>
    <row r="30" spans="1:18">
      <c r="A30" s="227" t="s">
        <v>49</v>
      </c>
      <c r="B30" s="33">
        <f>IF(ISERROR(TER_ander_ele_kWh/1000),0,TER_ander_ele_kWh/1000)</f>
        <v>272.81299999999999</v>
      </c>
      <c r="C30" s="39">
        <f>IF(ISERROR(B30*3.6/1000000/'E Balans VL '!Z14*100),0,B30*3.6/1000000/'E Balans VL '!Z14*100)</f>
        <v>1.2749119926465227E-2</v>
      </c>
      <c r="D30" s="232" t="s">
        <v>651</v>
      </c>
      <c r="F30" s="6"/>
    </row>
    <row r="31" spans="1:18">
      <c r="A31" s="227" t="s">
        <v>54</v>
      </c>
      <c r="B31" s="33">
        <f>IF(ISERROR(TER_onderwijs_ele_kWh/1000),0,TER_onderwijs_ele_kWh/1000)</f>
        <v>124.018</v>
      </c>
      <c r="C31" s="39">
        <f>IF(ISERROR(B31*3.6/1000000/'E Balans VL '!Z11*100),0,B31*3.6/1000000/'E Balans VL '!Z11*100)</f>
        <v>3.2749254964967008E-2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18845.661</v>
      </c>
      <c r="C5" s="17">
        <f>IF(ISERROR('Eigen informatie GS &amp; warmtenet'!B59),0,'Eigen informatie GS &amp; warmtenet'!B59)</f>
        <v>0</v>
      </c>
      <c r="D5" s="30">
        <f>SUM(D6:D15)</f>
        <v>18299.192406000006</v>
      </c>
      <c r="E5" s="17">
        <f>SUM(E6:E15)</f>
        <v>400.65139742697619</v>
      </c>
      <c r="F5" s="17">
        <f>SUM(F6:F15)</f>
        <v>30198.756396905505</v>
      </c>
      <c r="G5" s="18"/>
      <c r="H5" s="17"/>
      <c r="I5" s="17"/>
      <c r="J5" s="17">
        <f>SUM(J6:J15)</f>
        <v>372.01451667263962</v>
      </c>
      <c r="K5" s="17"/>
      <c r="L5" s="17"/>
      <c r="M5" s="17"/>
      <c r="N5" s="17">
        <f>SUM(N6:N15)</f>
        <v>8283.0837019789706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387.69900000000001</v>
      </c>
      <c r="C8" s="33"/>
      <c r="D8" s="37">
        <f>IF( ISERROR(IND_metaal_Gas_kWH/1000),0,IND_metaal_Gas_kWH/1000)*0.902</f>
        <v>189.93865</v>
      </c>
      <c r="E8" s="33">
        <f>C30*'E Balans VL '!I18/100/3.6*1000000</f>
        <v>9.702749052570061</v>
      </c>
      <c r="F8" s="33">
        <f>C30*'E Balans VL '!L18/100/3.6*1000000+C30*'E Balans VL '!N18/100/3.6*1000000</f>
        <v>121.50679511400556</v>
      </c>
      <c r="G8" s="34"/>
      <c r="H8" s="33"/>
      <c r="I8" s="33"/>
      <c r="J8" s="40">
        <f>C30*'E Balans VL '!D18/100/3.6*1000000+C30*'E Balans VL '!E18/100/3.6*1000000</f>
        <v>0</v>
      </c>
      <c r="K8" s="33"/>
      <c r="L8" s="33"/>
      <c r="M8" s="33"/>
      <c r="N8" s="33">
        <f>C30*'E Balans VL '!Y18/100/3.6*1000000</f>
        <v>9.7400050466434092</v>
      </c>
      <c r="O8" s="33"/>
      <c r="P8" s="33"/>
      <c r="R8" s="32"/>
    </row>
    <row r="9" spans="1:18">
      <c r="A9" s="6" t="s">
        <v>32</v>
      </c>
      <c r="B9" s="37">
        <f t="shared" si="0"/>
        <v>806.91300000000001</v>
      </c>
      <c r="C9" s="33"/>
      <c r="D9" s="37">
        <f>IF( ISERROR(IND_andere_gas_kWh/1000),0,IND_andere_gas_kWh/1000)*0.902</f>
        <v>606.602216</v>
      </c>
      <c r="E9" s="33">
        <f>C31*'E Balans VL '!I19/100/3.6*1000000</f>
        <v>221.86797941844532</v>
      </c>
      <c r="F9" s="33">
        <f>C31*'E Balans VL '!L19/100/3.6*1000000+C31*'E Balans VL '!N19/100/3.6*1000000</f>
        <v>635.98785694336289</v>
      </c>
      <c r="G9" s="34"/>
      <c r="H9" s="33"/>
      <c r="I9" s="33"/>
      <c r="J9" s="40">
        <f>C31*'E Balans VL '!D19/100/3.6*1000000+C31*'E Balans VL '!E19/100/3.6*1000000</f>
        <v>0</v>
      </c>
      <c r="K9" s="33"/>
      <c r="L9" s="33"/>
      <c r="M9" s="33"/>
      <c r="N9" s="33">
        <f>C31*'E Balans VL '!Y19/100/3.6*1000000</f>
        <v>65.00541976064325</v>
      </c>
      <c r="O9" s="33"/>
      <c r="P9" s="33"/>
      <c r="R9" s="32"/>
    </row>
    <row r="10" spans="1:18">
      <c r="A10" s="6" t="s">
        <v>40</v>
      </c>
      <c r="B10" s="37">
        <f t="shared" si="0"/>
        <v>15525.004000000001</v>
      </c>
      <c r="C10" s="33"/>
      <c r="D10" s="37">
        <f>IF( ISERROR(IND_voed_gas_kWh/1000),0,IND_voed_gas_kWh/1000)*0.902</f>
        <v>17314.216524000003</v>
      </c>
      <c r="E10" s="33">
        <f>C32*'E Balans VL '!I20/100/3.6*1000000</f>
        <v>158.26886300649412</v>
      </c>
      <c r="F10" s="33">
        <f>C32*'E Balans VL '!L20/100/3.6*1000000+C32*'E Balans VL '!N20/100/3.6*1000000</f>
        <v>29326.635456473097</v>
      </c>
      <c r="G10" s="34"/>
      <c r="H10" s="33"/>
      <c r="I10" s="33"/>
      <c r="J10" s="40">
        <f>C32*'E Balans VL '!D20/100/3.6*1000000+C32*'E Balans VL '!E20/100/3.6*1000000</f>
        <v>371.564143763071</v>
      </c>
      <c r="K10" s="33"/>
      <c r="L10" s="33"/>
      <c r="M10" s="33"/>
      <c r="N10" s="33">
        <f>C32*'E Balans VL '!Y20/100/3.6*1000000</f>
        <v>8183.4653691778385</v>
      </c>
      <c r="O10" s="33"/>
      <c r="P10" s="33"/>
      <c r="R10" s="32"/>
    </row>
    <row r="11" spans="1:18">
      <c r="A11" s="6" t="s">
        <v>39</v>
      </c>
      <c r="B11" s="37">
        <f t="shared" si="0"/>
        <v>2018.694</v>
      </c>
      <c r="C11" s="33"/>
      <c r="D11" s="37">
        <f>IF( ISERROR(IND_textiel_gas_kWh/1000),0,IND_textiel_gas_kWh/1000)*0.902</f>
        <v>183.35495200000003</v>
      </c>
      <c r="E11" s="33">
        <f>C33*'E Balans VL '!I21/100/3.6*1000000</f>
        <v>5.3505266804368672</v>
      </c>
      <c r="F11" s="33">
        <f>C33*'E Balans VL '!L21/100/3.6*1000000+C33*'E Balans VL '!N21/100/3.6*1000000</f>
        <v>90.156956477923416</v>
      </c>
      <c r="G11" s="34"/>
      <c r="H11" s="33"/>
      <c r="I11" s="33"/>
      <c r="J11" s="40">
        <f>C33*'E Balans VL '!D21/100/3.6*1000000+C33*'E Balans VL '!E21/100/3.6*1000000</f>
        <v>0</v>
      </c>
      <c r="K11" s="33"/>
      <c r="L11" s="33"/>
      <c r="M11" s="33"/>
      <c r="N11" s="33">
        <f>C33*'E Balans VL '!Y21/100/3.6*1000000</f>
        <v>19.02474790252025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107.351</v>
      </c>
      <c r="C15" s="33"/>
      <c r="D15" s="37">
        <f>IF( ISERROR(IND_rest_gas_kWh/1000),0,IND_rest_gas_kWh/1000)*0.902</f>
        <v>5.0800640000000001</v>
      </c>
      <c r="E15" s="33">
        <f>C37*'E Balans VL '!I15/100/3.6*1000000</f>
        <v>5.4612792690298209</v>
      </c>
      <c r="F15" s="33">
        <f>C37*'E Balans VL '!L15/100/3.6*1000000+C37*'E Balans VL '!N15/100/3.6*1000000</f>
        <v>24.46933189711342</v>
      </c>
      <c r="G15" s="34"/>
      <c r="H15" s="33"/>
      <c r="I15" s="33"/>
      <c r="J15" s="40">
        <f>C37*'E Balans VL '!D15/100/3.6*1000000+C37*'E Balans VL '!E15/100/3.6*1000000</f>
        <v>0.45037290956862086</v>
      </c>
      <c r="K15" s="33"/>
      <c r="L15" s="33"/>
      <c r="M15" s="33"/>
      <c r="N15" s="33">
        <f>C37*'E Balans VL '!Y15/100/3.6*1000000</f>
        <v>5.8481600913255187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18845.661</v>
      </c>
      <c r="C18" s="21">
        <f>C5+C16</f>
        <v>0</v>
      </c>
      <c r="D18" s="21">
        <f>MAX((D5+D16),0)</f>
        <v>18299.192406000006</v>
      </c>
      <c r="E18" s="21">
        <f>MAX((E5+E16),0)</f>
        <v>400.65139742697619</v>
      </c>
      <c r="F18" s="21">
        <f>MAX((F5+F16),0)</f>
        <v>30198.756396905505</v>
      </c>
      <c r="G18" s="21"/>
      <c r="H18" s="21"/>
      <c r="I18" s="21"/>
      <c r="J18" s="21">
        <f>MAX((J5+J16),0)</f>
        <v>372.01451667263962</v>
      </c>
      <c r="K18" s="21"/>
      <c r="L18" s="21">
        <f>MAX((L5+L16),0)</f>
        <v>0</v>
      </c>
      <c r="M18" s="21"/>
      <c r="N18" s="21">
        <f>MAX((N5+N16),0)</f>
        <v>8283.0837019789706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0.1996523337107611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3762.5801989718757</v>
      </c>
      <c r="C22" s="23">
        <f ca="1">C18*C20</f>
        <v>0</v>
      </c>
      <c r="D22" s="23">
        <f>D18*D20</f>
        <v>3696.4368660120012</v>
      </c>
      <c r="E22" s="23">
        <f>E18*E20</f>
        <v>90.947867215923594</v>
      </c>
      <c r="F22" s="23">
        <f>F18*F20</f>
        <v>8063.0679579737698</v>
      </c>
      <c r="G22" s="23"/>
      <c r="H22" s="23"/>
      <c r="I22" s="23"/>
      <c r="J22" s="23">
        <f>J18*J20</f>
        <v>131.69313890211441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387.69900000000001</v>
      </c>
      <c r="C30" s="39">
        <f>IF(ISERROR(B30*3.6/1000000/'E Balans VL '!Z18*100),0,B30*3.6/1000000/'E Balans VL '!Z18*100)</f>
        <v>5.4264939788091479E-2</v>
      </c>
      <c r="D30" s="232" t="s">
        <v>651</v>
      </c>
    </row>
    <row r="31" spans="1:18">
      <c r="A31" s="6" t="s">
        <v>32</v>
      </c>
      <c r="B31" s="37">
        <f>IF( ISERROR(IND_ander_ele_kWh/1000),0,IND_ander_ele_kWh/1000)</f>
        <v>806.91300000000001</v>
      </c>
      <c r="C31" s="39">
        <f>IF(ISERROR(B31*3.6/1000000/'E Balans VL '!Z19*100),0,B31*3.6/1000000/'E Balans VL '!Z19*100)</f>
        <v>3.5318451110113884E-2</v>
      </c>
      <c r="D31" s="232" t="s">
        <v>651</v>
      </c>
    </row>
    <row r="32" spans="1:18">
      <c r="A32" s="167" t="s">
        <v>40</v>
      </c>
      <c r="B32" s="37">
        <f>IF( ISERROR(IND_voed_ele_kWh/1000),0,IND_voed_ele_kWh/1000)</f>
        <v>15525.004000000001</v>
      </c>
      <c r="C32" s="39">
        <f>IF(ISERROR(B32*3.6/1000000/'E Balans VL '!Z20*100),0,B32*3.6/1000000/'E Balans VL '!Z20*100)</f>
        <v>3.8434754304474033</v>
      </c>
      <c r="D32" s="232" t="s">
        <v>651</v>
      </c>
    </row>
    <row r="33" spans="1:5">
      <c r="A33" s="167" t="s">
        <v>39</v>
      </c>
      <c r="B33" s="37">
        <f>IF( ISERROR(IND_textiel_ele_kWh/1000),0,IND_textiel_ele_kWh/1000)</f>
        <v>2018.694</v>
      </c>
      <c r="C33" s="39">
        <f>IF(ISERROR(B33*3.6/1000000/'E Balans VL '!Z21*100),0,B33*3.6/1000000/'E Balans VL '!Z21*100)</f>
        <v>0.22747125417757838</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107.351</v>
      </c>
      <c r="C37" s="39">
        <f>IF(ISERROR(B37*3.6/1000000/'E Balans VL '!Z15*100),0,B37*3.6/1000000/'E Balans VL '!Z15*100)</f>
        <v>7.9598928573105469E-4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987.37199999999996</v>
      </c>
      <c r="C5" s="17">
        <f>'Eigen informatie GS &amp; warmtenet'!B60</f>
        <v>0</v>
      </c>
      <c r="D5" s="30">
        <f>IF(ISERROR(SUM(LB_lb_gas_kWh,LB_rest_gas_kWh)/1000),0,SUM(LB_lb_gas_kWh,LB_rest_gas_kWh)/1000)*0.902</f>
        <v>442.12251600000002</v>
      </c>
      <c r="E5" s="17">
        <f>B17*'E Balans VL '!I25/3.6*1000000/100</f>
        <v>21.172750380315168</v>
      </c>
      <c r="F5" s="17">
        <f>B17*('E Balans VL '!L25/3.6*1000000+'E Balans VL '!N25/3.6*1000000)/100</f>
        <v>3202.7183805145846</v>
      </c>
      <c r="G5" s="18"/>
      <c r="H5" s="17"/>
      <c r="I5" s="17"/>
      <c r="J5" s="17">
        <f>('E Balans VL '!D25+'E Balans VL '!E25)/3.6*1000000*landbouw!B17/100</f>
        <v>95.133814006752161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987.37199999999996</v>
      </c>
      <c r="C8" s="21">
        <f>C5+C6</f>
        <v>0</v>
      </c>
      <c r="D8" s="21">
        <f>MAX((D5+D6),0)</f>
        <v>442.12251600000002</v>
      </c>
      <c r="E8" s="21">
        <f>MAX((E5+E6),0)</f>
        <v>21.172750380315168</v>
      </c>
      <c r="F8" s="21">
        <f>MAX((F5+F6),0)</f>
        <v>3202.7183805145846</v>
      </c>
      <c r="G8" s="21"/>
      <c r="H8" s="21"/>
      <c r="I8" s="21"/>
      <c r="J8" s="21">
        <f>MAX((J5+J6),0)</f>
        <v>95.133814006752161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0.1996523337107611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197.1311240406616</v>
      </c>
      <c r="C12" s="23">
        <f ca="1">C8*C10</f>
        <v>0</v>
      </c>
      <c r="D12" s="23">
        <f>D8*D10</f>
        <v>89.308748232000013</v>
      </c>
      <c r="E12" s="23">
        <f>E8*E10</f>
        <v>4.8062143363315437</v>
      </c>
      <c r="F12" s="23">
        <f>F8*F10</f>
        <v>855.1258075973941</v>
      </c>
      <c r="G12" s="23"/>
      <c r="H12" s="23"/>
      <c r="I12" s="23"/>
      <c r="J12" s="23">
        <f>J8*J10</f>
        <v>33.677370158390261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0.14038336249484826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131.11279029065352</v>
      </c>
      <c r="C26" s="242">
        <f>B26*'GWP N2O_CH4'!B5</f>
        <v>2753.368596103724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67.9841921583714</v>
      </c>
      <c r="C27" s="242">
        <f>B27*'GWP N2O_CH4'!B5</f>
        <v>1427.6680353257993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1.8395764155485861</v>
      </c>
      <c r="C28" s="242">
        <f>B28*'GWP N2O_CH4'!B4</f>
        <v>570.2686888200617</v>
      </c>
      <c r="D28" s="50"/>
    </row>
    <row r="29" spans="1:4">
      <c r="A29" s="41" t="s">
        <v>266</v>
      </c>
      <c r="B29" s="242">
        <f>B34*'ha_N2O bodem landbouw'!B4</f>
        <v>5.6863971597792755</v>
      </c>
      <c r="C29" s="242">
        <f>B29*'GWP N2O_CH4'!B4</f>
        <v>1762.7831195315755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1.2753587039148612E-3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1.4753461373473488E-5</v>
      </c>
      <c r="C5" s="428" t="s">
        <v>204</v>
      </c>
      <c r="D5" s="413">
        <f>SUM(D6:D11)</f>
        <v>2.5640741283021042E-5</v>
      </c>
      <c r="E5" s="413">
        <f>SUM(E6:E11)</f>
        <v>2.4423325247626375E-4</v>
      </c>
      <c r="F5" s="426" t="s">
        <v>204</v>
      </c>
      <c r="G5" s="413">
        <f>SUM(G6:G11)</f>
        <v>8.3629311304183163E-2</v>
      </c>
      <c r="H5" s="413">
        <f>SUM(H6:H11)</f>
        <v>1.5549353667888051E-2</v>
      </c>
      <c r="I5" s="428" t="s">
        <v>204</v>
      </c>
      <c r="J5" s="428" t="s">
        <v>204</v>
      </c>
      <c r="K5" s="428" t="s">
        <v>204</v>
      </c>
      <c r="L5" s="428" t="s">
        <v>204</v>
      </c>
      <c r="M5" s="413">
        <f>SUM(M6:M11)</f>
        <v>5.3228890860987851E-3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8.3299074541998072E-6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1.2598374962959708E-5</v>
      </c>
      <c r="E6" s="819">
        <f>vkm_GW_PW*SUMIFS(TableVerdeelsleutelVkm[LPG],TableVerdeelsleutelVkm[Voertuigtype],"Lichte voertuigen")*SUMIFS(TableECFTransport[EnergieConsumptieFactor (PJ per km)],TableECFTransport[Index],CONCATENATE($A6,"_LPG_LPG"))</f>
        <v>1.2307087211635312E-4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2.8575375386441938E-2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7.7833910675738725E-3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1.8941346450005595E-3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5.0783759398776009E-7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1.9490914862915824E-2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4.3674301808801109E-7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1.130040971613079E-3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5.726288012696975E-6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1.3042366320061332E-5</v>
      </c>
      <c r="E8" s="416">
        <f>vkm_NGW_PW*SUMIFS(TableVerdeelsleutelVkm[LPG],TableVerdeelsleutelVkm[Voertuigtype],"Lichte voertuigen")*SUMIFS(TableECFTransport[EnergieConsumptieFactor (PJ per km)],TableECFTransport[Index],CONCATENATE($A8,"_LPG_LPG"))</f>
        <v>1.2116238035991062E-4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2.6222037346457297E-2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7.7653292215545521E-3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1.7571438794639941E-3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1.8942831258894634E-7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9.3409837083681165E-3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1.9663574153913608E-7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5.415695900211527E-4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4.0981837148537466</v>
      </c>
      <c r="C14" s="21"/>
      <c r="D14" s="21">
        <f t="shared" ref="D14:M14" si="0">((D5)*10^9/3600)+D12</f>
        <v>7.1224281341725115</v>
      </c>
      <c r="E14" s="21">
        <f t="shared" si="0"/>
        <v>67.842570132295492</v>
      </c>
      <c r="F14" s="21"/>
      <c r="G14" s="21">
        <f t="shared" si="0"/>
        <v>23230.364251161987</v>
      </c>
      <c r="H14" s="21">
        <f t="shared" si="0"/>
        <v>4319.2649077466804</v>
      </c>
      <c r="I14" s="21"/>
      <c r="J14" s="21"/>
      <c r="K14" s="21"/>
      <c r="L14" s="21"/>
      <c r="M14" s="21">
        <f t="shared" si="0"/>
        <v>1478.580301694107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0.1996523337107611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0.81821194264598684</v>
      </c>
      <c r="C18" s="23"/>
      <c r="D18" s="23">
        <f t="shared" ref="D18:M18" si="1">D14*D16</f>
        <v>1.4387304831028473</v>
      </c>
      <c r="E18" s="23">
        <f t="shared" si="1"/>
        <v>15.400263420031077</v>
      </c>
      <c r="F18" s="23"/>
      <c r="G18" s="23">
        <f t="shared" si="1"/>
        <v>6202.5072550602508</v>
      </c>
      <c r="H18" s="23">
        <f t="shared" si="1"/>
        <v>1075.4969620289235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2.8921438870237422E-6</v>
      </c>
      <c r="C50" s="311">
        <f t="shared" ref="C50:P50" si="2">SUM(C51:C52)</f>
        <v>0</v>
      </c>
      <c r="D50" s="311">
        <f t="shared" si="2"/>
        <v>0</v>
      </c>
      <c r="E50" s="311">
        <f t="shared" si="2"/>
        <v>0</v>
      </c>
      <c r="F50" s="311">
        <f t="shared" si="2"/>
        <v>0</v>
      </c>
      <c r="G50" s="311">
        <f t="shared" si="2"/>
        <v>5.4802311586663272E-4</v>
      </c>
      <c r="H50" s="311">
        <f t="shared" si="2"/>
        <v>0</v>
      </c>
      <c r="I50" s="311">
        <f t="shared" si="2"/>
        <v>0</v>
      </c>
      <c r="J50" s="311">
        <f t="shared" si="2"/>
        <v>0</v>
      </c>
      <c r="K50" s="311">
        <f t="shared" si="2"/>
        <v>0</v>
      </c>
      <c r="L50" s="311">
        <f t="shared" si="2"/>
        <v>0</v>
      </c>
      <c r="M50" s="311">
        <f t="shared" si="2"/>
        <v>3.1548614482379724E-5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2.8921438870237422E-6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5.4802311586663272E-4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3.1548614482379724E-5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0.80337330195103951</v>
      </c>
      <c r="C54" s="21">
        <f t="shared" ref="C54:P54" si="3">(C50)*10^9/3600</f>
        <v>0</v>
      </c>
      <c r="D54" s="21">
        <f t="shared" si="3"/>
        <v>0</v>
      </c>
      <c r="E54" s="21">
        <f t="shared" si="3"/>
        <v>0</v>
      </c>
      <c r="F54" s="21">
        <f t="shared" si="3"/>
        <v>0</v>
      </c>
      <c r="G54" s="21">
        <f t="shared" si="3"/>
        <v>152.22864329628686</v>
      </c>
      <c r="H54" s="21">
        <f t="shared" si="3"/>
        <v>0</v>
      </c>
      <c r="I54" s="21">
        <f t="shared" si="3"/>
        <v>0</v>
      </c>
      <c r="J54" s="21">
        <f t="shared" si="3"/>
        <v>0</v>
      </c>
      <c r="K54" s="21">
        <f t="shared" si="3"/>
        <v>0</v>
      </c>
      <c r="L54" s="21">
        <f t="shared" si="3"/>
        <v>0</v>
      </c>
      <c r="M54" s="21">
        <f t="shared" si="3"/>
        <v>8.7635040228832555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0.1996523337107611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0.16039535457544499</v>
      </c>
      <c r="C58" s="23">
        <f t="shared" ref="C58:P58" ca="1" si="4">C54*C56</f>
        <v>0</v>
      </c>
      <c r="D58" s="23">
        <f t="shared" si="4"/>
        <v>0</v>
      </c>
      <c r="E58" s="23">
        <f t="shared" si="4"/>
        <v>0</v>
      </c>
      <c r="F58" s="23">
        <f t="shared" si="4"/>
        <v>0</v>
      </c>
      <c r="G58" s="23">
        <f t="shared" si="4"/>
        <v>40.645047760108596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2001.0031044893803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1494</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4268.5714285714284</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3495.0031044893803</v>
      </c>
      <c r="C10" s="548">
        <f t="shared" ref="C10:L10" si="0">SUM(C8:C9)</f>
        <v>0</v>
      </c>
      <c r="D10" s="548">
        <f t="shared" si="0"/>
        <v>0</v>
      </c>
      <c r="E10" s="548">
        <f t="shared" si="0"/>
        <v>0</v>
      </c>
      <c r="F10" s="548">
        <f t="shared" si="0"/>
        <v>0</v>
      </c>
      <c r="G10" s="548">
        <f t="shared" si="0"/>
        <v>0</v>
      </c>
      <c r="H10" s="548">
        <f t="shared" si="0"/>
        <v>0</v>
      </c>
      <c r="I10" s="548">
        <f t="shared" si="0"/>
        <v>0</v>
      </c>
      <c r="J10" s="548">
        <f t="shared" si="0"/>
        <v>4268.5714285714284</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34025</v>
      </c>
      <c r="C35" s="725">
        <v>8860</v>
      </c>
      <c r="D35" s="620"/>
      <c r="E35" s="620"/>
      <c r="F35" s="620"/>
      <c r="G35" s="620" t="s">
        <v>904</v>
      </c>
      <c r="H35" s="620" t="s">
        <v>905</v>
      </c>
      <c r="I35" s="620"/>
      <c r="J35" s="724"/>
      <c r="K35" s="724"/>
      <c r="L35" s="620" t="s">
        <v>906</v>
      </c>
      <c r="M35" s="620">
        <v>332</v>
      </c>
      <c r="N35" s="620">
        <v>1494</v>
      </c>
      <c r="O35" s="620">
        <v>0</v>
      </c>
      <c r="P35" s="620">
        <v>0</v>
      </c>
      <c r="Q35" s="620">
        <v>0</v>
      </c>
      <c r="R35" s="620">
        <v>4268.5714285714284</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332</v>
      </c>
      <c r="N36" s="575">
        <f>SUM(N35:N35)</f>
        <v>1494</v>
      </c>
      <c r="O36" s="575">
        <f>SUM(O35:O35)</f>
        <v>0</v>
      </c>
      <c r="P36" s="575">
        <f>SUM(P35:P35)</f>
        <v>0</v>
      </c>
      <c r="Q36" s="575">
        <f>SUM(Q35:Q35)</f>
        <v>0</v>
      </c>
      <c r="R36" s="575">
        <f>SUM(R35:R35)</f>
        <v>4268.5714285714284</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332</v>
      </c>
      <c r="N38" s="575">
        <f>SUMIF($AA$35:$AA$36,"tertiair",N35:N36)</f>
        <v>1494</v>
      </c>
      <c r="O38" s="575">
        <f>SUMIF($AA$35:$AA$36,"tertiair",O35:O36)</f>
        <v>0</v>
      </c>
      <c r="P38" s="575">
        <f>SUMIF($AA$35:$AA$36,"tertiair",P35:P36)</f>
        <v>0</v>
      </c>
      <c r="Q38" s="575">
        <f>SUMIF($AA$35:$AA$36,"tertiair",Q35:Q36)</f>
        <v>0</v>
      </c>
      <c r="R38" s="575">
        <f>SUMIF($AA$35:$AA$36,"tertiair",R35:R36)</f>
        <v>4268.5714285714284</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6262.6839999999993</v>
      </c>
      <c r="D10" s="943">
        <f ca="1">tertiair!C16</f>
        <v>0</v>
      </c>
      <c r="E10" s="943">
        <f ca="1">tertiair!D16</f>
        <v>5375.0179999999991</v>
      </c>
      <c r="F10" s="943">
        <f>tertiair!E16</f>
        <v>73.303891671802447</v>
      </c>
      <c r="G10" s="943">
        <f ca="1">tertiair!F16</f>
        <v>800.13021648573886</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1.5633333333333335</v>
      </c>
      <c r="Q10" s="944">
        <f>tertiair!P16</f>
        <v>19.066666666666666</v>
      </c>
      <c r="R10" s="629">
        <f ca="1">SUM(C10:Q10)</f>
        <v>12531.766108157541</v>
      </c>
      <c r="S10" s="67"/>
    </row>
    <row r="11" spans="1:19" s="438" customFormat="1">
      <c r="A11" s="737" t="s">
        <v>214</v>
      </c>
      <c r="B11" s="742"/>
      <c r="C11" s="943">
        <f>huishoudens!B8</f>
        <v>9933.1972629079173</v>
      </c>
      <c r="D11" s="943">
        <f>huishoudens!C8</f>
        <v>0</v>
      </c>
      <c r="E11" s="943">
        <f>huishoudens!D8</f>
        <v>22038.305322</v>
      </c>
      <c r="F11" s="943">
        <f>huishoudens!E8</f>
        <v>392.01809982587838</v>
      </c>
      <c r="G11" s="943">
        <f>huishoudens!F8</f>
        <v>12366.948029366644</v>
      </c>
      <c r="H11" s="943">
        <f>huishoudens!G8</f>
        <v>0</v>
      </c>
      <c r="I11" s="943">
        <f>huishoudens!H8</f>
        <v>0</v>
      </c>
      <c r="J11" s="943">
        <f>huishoudens!I8</f>
        <v>0</v>
      </c>
      <c r="K11" s="943">
        <f>huishoudens!J8</f>
        <v>288.39676086589913</v>
      </c>
      <c r="L11" s="943">
        <f>huishoudens!K8</f>
        <v>0</v>
      </c>
      <c r="M11" s="943">
        <f>huishoudens!L8</f>
        <v>0</v>
      </c>
      <c r="N11" s="943">
        <f>huishoudens!M8</f>
        <v>0</v>
      </c>
      <c r="O11" s="943">
        <f>huishoudens!N8</f>
        <v>2637.4185019997467</v>
      </c>
      <c r="P11" s="943">
        <f>huishoudens!O8</f>
        <v>92.236666666666679</v>
      </c>
      <c r="Q11" s="944">
        <f>huishoudens!P8</f>
        <v>57.2</v>
      </c>
      <c r="R11" s="629">
        <f>SUM(C11:Q11)</f>
        <v>47805.720643632747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18845.661</v>
      </c>
      <c r="D13" s="943">
        <f>industrie!C18</f>
        <v>0</v>
      </c>
      <c r="E13" s="943">
        <f>industrie!D18</f>
        <v>18299.192406000006</v>
      </c>
      <c r="F13" s="943">
        <f>industrie!E18</f>
        <v>400.65139742697619</v>
      </c>
      <c r="G13" s="943">
        <f>industrie!F18</f>
        <v>30198.756396905505</v>
      </c>
      <c r="H13" s="943">
        <f>industrie!G18</f>
        <v>0</v>
      </c>
      <c r="I13" s="943">
        <f>industrie!H18</f>
        <v>0</v>
      </c>
      <c r="J13" s="943">
        <f>industrie!I18</f>
        <v>0</v>
      </c>
      <c r="K13" s="943">
        <f>industrie!J18</f>
        <v>372.01451667263962</v>
      </c>
      <c r="L13" s="943">
        <f>industrie!K18</f>
        <v>0</v>
      </c>
      <c r="M13" s="943">
        <f>industrie!L18</f>
        <v>0</v>
      </c>
      <c r="N13" s="943">
        <f>industrie!M18</f>
        <v>0</v>
      </c>
      <c r="O13" s="943">
        <f>industrie!N18</f>
        <v>8283.0837019789706</v>
      </c>
      <c r="P13" s="943">
        <f>industrie!O18</f>
        <v>0</v>
      </c>
      <c r="Q13" s="944">
        <f>industrie!P18</f>
        <v>0</v>
      </c>
      <c r="R13" s="629">
        <f>SUM(C13:Q13)</f>
        <v>76399.35941898411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35041.542262907918</v>
      </c>
      <c r="D16" s="661">
        <f t="shared" ref="D16:R16" ca="1" si="0">SUM(D9:D15)</f>
        <v>0</v>
      </c>
      <c r="E16" s="661">
        <f t="shared" ca="1" si="0"/>
        <v>45712.515728000006</v>
      </c>
      <c r="F16" s="661">
        <f t="shared" si="0"/>
        <v>865.973388924657</v>
      </c>
      <c r="G16" s="661">
        <f t="shared" ca="1" si="0"/>
        <v>43365.834642757887</v>
      </c>
      <c r="H16" s="661">
        <f t="shared" si="0"/>
        <v>0</v>
      </c>
      <c r="I16" s="661">
        <f t="shared" si="0"/>
        <v>0</v>
      </c>
      <c r="J16" s="661">
        <f t="shared" si="0"/>
        <v>0</v>
      </c>
      <c r="K16" s="661">
        <f t="shared" si="0"/>
        <v>660.4112775385388</v>
      </c>
      <c r="L16" s="661">
        <f t="shared" si="0"/>
        <v>0</v>
      </c>
      <c r="M16" s="661">
        <f t="shared" ca="1" si="0"/>
        <v>0</v>
      </c>
      <c r="N16" s="661">
        <f t="shared" si="0"/>
        <v>0</v>
      </c>
      <c r="O16" s="661">
        <f t="shared" ca="1" si="0"/>
        <v>10920.502203978718</v>
      </c>
      <c r="P16" s="661">
        <f t="shared" si="0"/>
        <v>93.800000000000011</v>
      </c>
      <c r="Q16" s="661">
        <f t="shared" si="0"/>
        <v>76.266666666666666</v>
      </c>
      <c r="R16" s="661">
        <f t="shared" ca="1" si="0"/>
        <v>136736.8461707744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0.80337330195103951</v>
      </c>
      <c r="D19" s="943">
        <f>transport!C54</f>
        <v>0</v>
      </c>
      <c r="E19" s="943">
        <f>transport!D54</f>
        <v>0</v>
      </c>
      <c r="F19" s="943">
        <f>transport!E54</f>
        <v>0</v>
      </c>
      <c r="G19" s="943">
        <f>transport!F54</f>
        <v>0</v>
      </c>
      <c r="H19" s="943">
        <f>transport!G54</f>
        <v>152.22864329628686</v>
      </c>
      <c r="I19" s="943">
        <f>transport!H54</f>
        <v>0</v>
      </c>
      <c r="J19" s="943">
        <f>transport!I54</f>
        <v>0</v>
      </c>
      <c r="K19" s="943">
        <f>transport!J54</f>
        <v>0</v>
      </c>
      <c r="L19" s="943">
        <f>transport!K54</f>
        <v>0</v>
      </c>
      <c r="M19" s="943">
        <f>transport!L54</f>
        <v>0</v>
      </c>
      <c r="N19" s="943">
        <f>transport!M54</f>
        <v>8.7635040228832555</v>
      </c>
      <c r="O19" s="943">
        <f>transport!N54</f>
        <v>0</v>
      </c>
      <c r="P19" s="943">
        <f>transport!O54</f>
        <v>0</v>
      </c>
      <c r="Q19" s="944">
        <f>transport!P54</f>
        <v>0</v>
      </c>
      <c r="R19" s="629">
        <f>SUM(C19:Q19)</f>
        <v>161.79552062112117</v>
      </c>
      <c r="S19" s="67"/>
    </row>
    <row r="20" spans="1:19" s="438" customFormat="1">
      <c r="A20" s="737" t="s">
        <v>296</v>
      </c>
      <c r="B20" s="742"/>
      <c r="C20" s="943">
        <f>transport!B14</f>
        <v>4.0981837148537466</v>
      </c>
      <c r="D20" s="943">
        <f>transport!C14</f>
        <v>0</v>
      </c>
      <c r="E20" s="943">
        <f>transport!D14</f>
        <v>7.1224281341725115</v>
      </c>
      <c r="F20" s="943">
        <f>transport!E14</f>
        <v>67.842570132295492</v>
      </c>
      <c r="G20" s="943">
        <f>transport!F14</f>
        <v>0</v>
      </c>
      <c r="H20" s="943">
        <f>transport!G14</f>
        <v>23230.364251161987</v>
      </c>
      <c r="I20" s="943">
        <f>transport!H14</f>
        <v>4319.2649077466804</v>
      </c>
      <c r="J20" s="943">
        <f>transport!I14</f>
        <v>0</v>
      </c>
      <c r="K20" s="943">
        <f>transport!J14</f>
        <v>0</v>
      </c>
      <c r="L20" s="943">
        <f>transport!K14</f>
        <v>0</v>
      </c>
      <c r="M20" s="943">
        <f>transport!L14</f>
        <v>0</v>
      </c>
      <c r="N20" s="943">
        <f>transport!M14</f>
        <v>1478.580301694107</v>
      </c>
      <c r="O20" s="943">
        <f>transport!N14</f>
        <v>0</v>
      </c>
      <c r="P20" s="943">
        <f>transport!O14</f>
        <v>0</v>
      </c>
      <c r="Q20" s="944">
        <f>transport!P14</f>
        <v>0</v>
      </c>
      <c r="R20" s="629">
        <f>SUM(C20:Q20)</f>
        <v>29107.272642584096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4.9015570168047864</v>
      </c>
      <c r="D22" s="740">
        <f t="shared" ref="D22:R22" si="1">SUM(D18:D21)</f>
        <v>0</v>
      </c>
      <c r="E22" s="740">
        <f t="shared" si="1"/>
        <v>7.1224281341725115</v>
      </c>
      <c r="F22" s="740">
        <f t="shared" si="1"/>
        <v>67.842570132295492</v>
      </c>
      <c r="G22" s="740">
        <f t="shared" si="1"/>
        <v>0</v>
      </c>
      <c r="H22" s="740">
        <f t="shared" si="1"/>
        <v>23382.592894458274</v>
      </c>
      <c r="I22" s="740">
        <f t="shared" si="1"/>
        <v>4319.2649077466804</v>
      </c>
      <c r="J22" s="740">
        <f t="shared" si="1"/>
        <v>0</v>
      </c>
      <c r="K22" s="740">
        <f t="shared" si="1"/>
        <v>0</v>
      </c>
      <c r="L22" s="740">
        <f t="shared" si="1"/>
        <v>0</v>
      </c>
      <c r="M22" s="740">
        <f t="shared" si="1"/>
        <v>0</v>
      </c>
      <c r="N22" s="740">
        <f t="shared" si="1"/>
        <v>1487.3438057169903</v>
      </c>
      <c r="O22" s="740">
        <f t="shared" si="1"/>
        <v>0</v>
      </c>
      <c r="P22" s="740">
        <f t="shared" si="1"/>
        <v>0</v>
      </c>
      <c r="Q22" s="740">
        <f t="shared" si="1"/>
        <v>0</v>
      </c>
      <c r="R22" s="740">
        <f t="shared" si="1"/>
        <v>29269.068163205218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987.37199999999996</v>
      </c>
      <c r="D24" s="943">
        <f>+landbouw!C8</f>
        <v>0</v>
      </c>
      <c r="E24" s="943">
        <f>+landbouw!D8</f>
        <v>442.12251600000002</v>
      </c>
      <c r="F24" s="943">
        <f>+landbouw!E8</f>
        <v>21.172750380315168</v>
      </c>
      <c r="G24" s="943">
        <f>+landbouw!F8</f>
        <v>3202.7183805145846</v>
      </c>
      <c r="H24" s="943">
        <f>+landbouw!G8</f>
        <v>0</v>
      </c>
      <c r="I24" s="943">
        <f>+landbouw!H8</f>
        <v>0</v>
      </c>
      <c r="J24" s="943">
        <f>+landbouw!I8</f>
        <v>0</v>
      </c>
      <c r="K24" s="943">
        <f>+landbouw!J8</f>
        <v>95.133814006752161</v>
      </c>
      <c r="L24" s="943">
        <f>+landbouw!K8</f>
        <v>0</v>
      </c>
      <c r="M24" s="943">
        <f>+landbouw!L8</f>
        <v>0</v>
      </c>
      <c r="N24" s="943">
        <f>+landbouw!M8</f>
        <v>0</v>
      </c>
      <c r="O24" s="943">
        <f>+landbouw!N8</f>
        <v>0</v>
      </c>
      <c r="P24" s="943">
        <f>+landbouw!O8</f>
        <v>0</v>
      </c>
      <c r="Q24" s="944">
        <f>+landbouw!P8</f>
        <v>0</v>
      </c>
      <c r="R24" s="629">
        <f>SUM(C24:Q24)</f>
        <v>4748.5194609016517</v>
      </c>
      <c r="S24" s="67"/>
    </row>
    <row r="25" spans="1:19" s="438" customFormat="1" ht="15" thickBot="1">
      <c r="A25" s="759" t="s">
        <v>802</v>
      </c>
      <c r="B25" s="946"/>
      <c r="C25" s="947">
        <f>IF(Onbekend_ele_kWh="---",0,Onbekend_ele_kWh)/1000+IF(REST_rest_ele_kWh="---",0,REST_rest_ele_kWh)/1000</f>
        <v>147.923</v>
      </c>
      <c r="D25" s="947"/>
      <c r="E25" s="947">
        <f>IF(onbekend_gas_kWh="---",0,onbekend_gas_kWh)/1000+IF(REST_rest_gas_kWh="---",0,REST_rest_gas_kWh)/1000</f>
        <v>233.22900000000001</v>
      </c>
      <c r="F25" s="947"/>
      <c r="G25" s="947"/>
      <c r="H25" s="947"/>
      <c r="I25" s="947"/>
      <c r="J25" s="947"/>
      <c r="K25" s="947"/>
      <c r="L25" s="947"/>
      <c r="M25" s="947"/>
      <c r="N25" s="947"/>
      <c r="O25" s="947"/>
      <c r="P25" s="947"/>
      <c r="Q25" s="948"/>
      <c r="R25" s="629">
        <f>SUM(C25:Q25)</f>
        <v>381.15200000000004</v>
      </c>
      <c r="S25" s="67"/>
    </row>
    <row r="26" spans="1:19" s="438" customFormat="1" ht="15.75" thickBot="1">
      <c r="A26" s="634" t="s">
        <v>803</v>
      </c>
      <c r="B26" s="745"/>
      <c r="C26" s="740">
        <f>SUM(C24:C25)</f>
        <v>1135.2950000000001</v>
      </c>
      <c r="D26" s="740">
        <f t="shared" ref="D26:R26" si="2">SUM(D24:D25)</f>
        <v>0</v>
      </c>
      <c r="E26" s="740">
        <f t="shared" si="2"/>
        <v>675.35151600000006</v>
      </c>
      <c r="F26" s="740">
        <f t="shared" si="2"/>
        <v>21.172750380315168</v>
      </c>
      <c r="G26" s="740">
        <f t="shared" si="2"/>
        <v>3202.7183805145846</v>
      </c>
      <c r="H26" s="740">
        <f t="shared" si="2"/>
        <v>0</v>
      </c>
      <c r="I26" s="740">
        <f t="shared" si="2"/>
        <v>0</v>
      </c>
      <c r="J26" s="740">
        <f t="shared" si="2"/>
        <v>0</v>
      </c>
      <c r="K26" s="740">
        <f t="shared" si="2"/>
        <v>95.133814006752161</v>
      </c>
      <c r="L26" s="740">
        <f t="shared" si="2"/>
        <v>0</v>
      </c>
      <c r="M26" s="740">
        <f t="shared" si="2"/>
        <v>0</v>
      </c>
      <c r="N26" s="740">
        <f t="shared" si="2"/>
        <v>0</v>
      </c>
      <c r="O26" s="740">
        <f t="shared" si="2"/>
        <v>0</v>
      </c>
      <c r="P26" s="740">
        <f t="shared" si="2"/>
        <v>0</v>
      </c>
      <c r="Q26" s="740">
        <f t="shared" si="2"/>
        <v>0</v>
      </c>
      <c r="R26" s="740">
        <f t="shared" si="2"/>
        <v>5129.6714609016517</v>
      </c>
      <c r="S26" s="67"/>
    </row>
    <row r="27" spans="1:19" s="438" customFormat="1" ht="17.25" thickTop="1" thickBot="1">
      <c r="A27" s="635" t="s">
        <v>109</v>
      </c>
      <c r="B27" s="733"/>
      <c r="C27" s="636">
        <f ca="1">C22+C16+C26</f>
        <v>36181.738819924722</v>
      </c>
      <c r="D27" s="636">
        <f t="shared" ref="D27:R27" ca="1" si="3">D22+D16+D26</f>
        <v>0</v>
      </c>
      <c r="E27" s="636">
        <f t="shared" ca="1" si="3"/>
        <v>46394.989672134179</v>
      </c>
      <c r="F27" s="636">
        <f t="shared" si="3"/>
        <v>954.98870943726763</v>
      </c>
      <c r="G27" s="636">
        <f t="shared" ca="1" si="3"/>
        <v>46568.55302327247</v>
      </c>
      <c r="H27" s="636">
        <f t="shared" si="3"/>
        <v>23382.592894458274</v>
      </c>
      <c r="I27" s="636">
        <f t="shared" si="3"/>
        <v>4319.2649077466804</v>
      </c>
      <c r="J27" s="636">
        <f t="shared" si="3"/>
        <v>0</v>
      </c>
      <c r="K27" s="636">
        <f t="shared" si="3"/>
        <v>755.54509154529092</v>
      </c>
      <c r="L27" s="636">
        <f t="shared" si="3"/>
        <v>0</v>
      </c>
      <c r="M27" s="636">
        <f t="shared" ca="1" si="3"/>
        <v>0</v>
      </c>
      <c r="N27" s="636">
        <f t="shared" si="3"/>
        <v>1487.3438057169903</v>
      </c>
      <c r="O27" s="636">
        <f t="shared" ca="1" si="3"/>
        <v>10920.502203978718</v>
      </c>
      <c r="P27" s="636">
        <f t="shared" si="3"/>
        <v>93.800000000000011</v>
      </c>
      <c r="Q27" s="636">
        <f t="shared" si="3"/>
        <v>76.266666666666666</v>
      </c>
      <c r="R27" s="636">
        <f t="shared" ca="1" si="3"/>
        <v>171135.58579488128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1250.359475893044</v>
      </c>
      <c r="D40" s="943">
        <f ca="1">tertiair!C20</f>
        <v>0</v>
      </c>
      <c r="E40" s="943">
        <f ca="1">tertiair!D20</f>
        <v>1085.7536359999999</v>
      </c>
      <c r="F40" s="943">
        <f>tertiair!E20</f>
        <v>16.639983409499155</v>
      </c>
      <c r="G40" s="943">
        <f ca="1">tertiair!F20</f>
        <v>213.63476780169228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2566.3878631042353</v>
      </c>
    </row>
    <row r="41" spans="1:18">
      <c r="A41" s="750" t="s">
        <v>214</v>
      </c>
      <c r="B41" s="757"/>
      <c r="C41" s="943">
        <f ca="1">huishoudens!B12</f>
        <v>1983.1860147489103</v>
      </c>
      <c r="D41" s="943">
        <f ca="1">huishoudens!C12</f>
        <v>0</v>
      </c>
      <c r="E41" s="943">
        <f>huishoudens!D12</f>
        <v>4451.7376750440008</v>
      </c>
      <c r="F41" s="943">
        <f>huishoudens!E12</f>
        <v>88.988108660474396</v>
      </c>
      <c r="G41" s="943">
        <f>huishoudens!F12</f>
        <v>3301.975123840894</v>
      </c>
      <c r="H41" s="943">
        <f>huishoudens!G12</f>
        <v>0</v>
      </c>
      <c r="I41" s="943">
        <f>huishoudens!H12</f>
        <v>0</v>
      </c>
      <c r="J41" s="943">
        <f>huishoudens!I12</f>
        <v>0</v>
      </c>
      <c r="K41" s="943">
        <f>huishoudens!J12</f>
        <v>102.09245334652829</v>
      </c>
      <c r="L41" s="943">
        <f>huishoudens!K12</f>
        <v>0</v>
      </c>
      <c r="M41" s="943">
        <f>huishoudens!L12</f>
        <v>0</v>
      </c>
      <c r="N41" s="943">
        <f>huishoudens!M12</f>
        <v>0</v>
      </c>
      <c r="O41" s="943">
        <f>huishoudens!N12</f>
        <v>0</v>
      </c>
      <c r="P41" s="943">
        <f>huishoudens!O12</f>
        <v>0</v>
      </c>
      <c r="Q41" s="703">
        <f>huishoudens!P12</f>
        <v>0</v>
      </c>
      <c r="R41" s="778">
        <f t="shared" ca="1" si="4"/>
        <v>9927.9793756408071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3762.5801989718757</v>
      </c>
      <c r="D43" s="943">
        <f ca="1">industrie!C22</f>
        <v>0</v>
      </c>
      <c r="E43" s="943">
        <f>industrie!D22</f>
        <v>3696.4368660120012</v>
      </c>
      <c r="F43" s="943">
        <f>industrie!E22</f>
        <v>90.947867215923594</v>
      </c>
      <c r="G43" s="943">
        <f>industrie!F22</f>
        <v>8063.0679579737698</v>
      </c>
      <c r="H43" s="943">
        <f>industrie!G22</f>
        <v>0</v>
      </c>
      <c r="I43" s="943">
        <f>industrie!H22</f>
        <v>0</v>
      </c>
      <c r="J43" s="943">
        <f>industrie!I22</f>
        <v>0</v>
      </c>
      <c r="K43" s="943">
        <f>industrie!J22</f>
        <v>131.69313890211441</v>
      </c>
      <c r="L43" s="943">
        <f>industrie!K22</f>
        <v>0</v>
      </c>
      <c r="M43" s="943">
        <f>industrie!L22</f>
        <v>0</v>
      </c>
      <c r="N43" s="943">
        <f>industrie!M22</f>
        <v>0</v>
      </c>
      <c r="O43" s="943">
        <f>industrie!N22</f>
        <v>0</v>
      </c>
      <c r="P43" s="943">
        <f>industrie!O22</f>
        <v>0</v>
      </c>
      <c r="Q43" s="703">
        <f>industrie!P22</f>
        <v>0</v>
      </c>
      <c r="R43" s="777">
        <f t="shared" ca="1" si="4"/>
        <v>15744.726029075684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6996.1256896138302</v>
      </c>
      <c r="D46" s="661">
        <f t="shared" ref="D46:Q46" ca="1" si="5">SUM(D39:D45)</f>
        <v>0</v>
      </c>
      <c r="E46" s="661">
        <f t="shared" ca="1" si="5"/>
        <v>9233.9281770560028</v>
      </c>
      <c r="F46" s="661">
        <f t="shared" si="5"/>
        <v>196.57595928589714</v>
      </c>
      <c r="G46" s="661">
        <f t="shared" ca="1" si="5"/>
        <v>11578.677849616357</v>
      </c>
      <c r="H46" s="661">
        <f t="shared" si="5"/>
        <v>0</v>
      </c>
      <c r="I46" s="661">
        <f t="shared" si="5"/>
        <v>0</v>
      </c>
      <c r="J46" s="661">
        <f t="shared" si="5"/>
        <v>0</v>
      </c>
      <c r="K46" s="661">
        <f t="shared" si="5"/>
        <v>233.7855922486427</v>
      </c>
      <c r="L46" s="661">
        <f t="shared" si="5"/>
        <v>0</v>
      </c>
      <c r="M46" s="661">
        <f t="shared" ca="1" si="5"/>
        <v>0</v>
      </c>
      <c r="N46" s="661">
        <f t="shared" si="5"/>
        <v>0</v>
      </c>
      <c r="O46" s="661">
        <f t="shared" ca="1" si="5"/>
        <v>0</v>
      </c>
      <c r="P46" s="661">
        <f t="shared" si="5"/>
        <v>0</v>
      </c>
      <c r="Q46" s="661">
        <f t="shared" si="5"/>
        <v>0</v>
      </c>
      <c r="R46" s="661">
        <f ca="1">SUM(R39:R45)</f>
        <v>28239.093267820725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0.16039535457544499</v>
      </c>
      <c r="D49" s="943">
        <f ca="1">transport!C58</f>
        <v>0</v>
      </c>
      <c r="E49" s="943">
        <f>transport!D58</f>
        <v>0</v>
      </c>
      <c r="F49" s="943">
        <f>transport!E58</f>
        <v>0</v>
      </c>
      <c r="G49" s="943">
        <f>transport!F58</f>
        <v>0</v>
      </c>
      <c r="H49" s="943">
        <f>transport!G58</f>
        <v>40.645047760108596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40.805443114684039</v>
      </c>
    </row>
    <row r="50" spans="1:18">
      <c r="A50" s="753" t="s">
        <v>296</v>
      </c>
      <c r="B50" s="763"/>
      <c r="C50" s="632">
        <f ca="1">transport!B18</f>
        <v>0.81821194264598684</v>
      </c>
      <c r="D50" s="632">
        <f>transport!C18</f>
        <v>0</v>
      </c>
      <c r="E50" s="632">
        <f>transport!D18</f>
        <v>1.4387304831028473</v>
      </c>
      <c r="F50" s="632">
        <f>transport!E18</f>
        <v>15.400263420031077</v>
      </c>
      <c r="G50" s="632">
        <f>transport!F18</f>
        <v>0</v>
      </c>
      <c r="H50" s="632">
        <f>transport!G18</f>
        <v>6202.5072550602508</v>
      </c>
      <c r="I50" s="632">
        <f>transport!H18</f>
        <v>1075.4969620289235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7295.6614229349543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0.9786072972214318</v>
      </c>
      <c r="D52" s="661">
        <f t="shared" ref="D52:Q52" ca="1" si="6">SUM(D48:D51)</f>
        <v>0</v>
      </c>
      <c r="E52" s="661">
        <f t="shared" si="6"/>
        <v>1.4387304831028473</v>
      </c>
      <c r="F52" s="661">
        <f t="shared" si="6"/>
        <v>15.400263420031077</v>
      </c>
      <c r="G52" s="661">
        <f t="shared" si="6"/>
        <v>0</v>
      </c>
      <c r="H52" s="661">
        <f t="shared" si="6"/>
        <v>6243.1523028203592</v>
      </c>
      <c r="I52" s="661">
        <f t="shared" si="6"/>
        <v>1075.4969620289235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7336.4668660496382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197.1311240406616</v>
      </c>
      <c r="D54" s="632">
        <f ca="1">+landbouw!C12</f>
        <v>0</v>
      </c>
      <c r="E54" s="632">
        <f>+landbouw!D12</f>
        <v>89.308748232000013</v>
      </c>
      <c r="F54" s="632">
        <f>+landbouw!E12</f>
        <v>4.8062143363315437</v>
      </c>
      <c r="G54" s="632">
        <f>+landbouw!F12</f>
        <v>855.1258075973941</v>
      </c>
      <c r="H54" s="632">
        <f>+landbouw!G12</f>
        <v>0</v>
      </c>
      <c r="I54" s="632">
        <f>+landbouw!H12</f>
        <v>0</v>
      </c>
      <c r="J54" s="632">
        <f>+landbouw!I12</f>
        <v>0</v>
      </c>
      <c r="K54" s="632">
        <f>+landbouw!J12</f>
        <v>33.677370158390261</v>
      </c>
      <c r="L54" s="632">
        <f>+landbouw!K12</f>
        <v>0</v>
      </c>
      <c r="M54" s="632">
        <f>+landbouw!L12</f>
        <v>0</v>
      </c>
      <c r="N54" s="632">
        <f>+landbouw!M12</f>
        <v>0</v>
      </c>
      <c r="O54" s="632">
        <f>+landbouw!N12</f>
        <v>0</v>
      </c>
      <c r="P54" s="632">
        <f>+landbouw!O12</f>
        <v>0</v>
      </c>
      <c r="Q54" s="633">
        <f>+landbouw!P12</f>
        <v>0</v>
      </c>
      <c r="R54" s="660">
        <f ca="1">SUM(C54:Q54)</f>
        <v>1180.0492643647774</v>
      </c>
    </row>
    <row r="55" spans="1:18" ht="15" thickBot="1">
      <c r="A55" s="753" t="s">
        <v>802</v>
      </c>
      <c r="B55" s="763"/>
      <c r="C55" s="632">
        <f ca="1">C25*'EF ele_warmte'!B12</f>
        <v>29.533172159496914</v>
      </c>
      <c r="D55" s="632"/>
      <c r="E55" s="632">
        <f>E25*EF_CO2_aardgas</f>
        <v>47.112258000000004</v>
      </c>
      <c r="F55" s="632"/>
      <c r="G55" s="632"/>
      <c r="H55" s="632"/>
      <c r="I55" s="632"/>
      <c r="J55" s="632"/>
      <c r="K55" s="632"/>
      <c r="L55" s="632"/>
      <c r="M55" s="632"/>
      <c r="N55" s="632"/>
      <c r="O55" s="632"/>
      <c r="P55" s="632"/>
      <c r="Q55" s="633"/>
      <c r="R55" s="660">
        <f ca="1">SUM(C55:Q55)</f>
        <v>76.645430159496925</v>
      </c>
    </row>
    <row r="56" spans="1:18" ht="15.75" thickBot="1">
      <c r="A56" s="751" t="s">
        <v>803</v>
      </c>
      <c r="B56" s="764"/>
      <c r="C56" s="661">
        <f ca="1">SUM(C54:C55)</f>
        <v>226.6642962001585</v>
      </c>
      <c r="D56" s="661">
        <f t="shared" ref="D56:Q56" ca="1" si="7">SUM(D54:D55)</f>
        <v>0</v>
      </c>
      <c r="E56" s="661">
        <f t="shared" si="7"/>
        <v>136.42100623200002</v>
      </c>
      <c r="F56" s="661">
        <f t="shared" si="7"/>
        <v>4.8062143363315437</v>
      </c>
      <c r="G56" s="661">
        <f t="shared" si="7"/>
        <v>855.1258075973941</v>
      </c>
      <c r="H56" s="661">
        <f t="shared" si="7"/>
        <v>0</v>
      </c>
      <c r="I56" s="661">
        <f t="shared" si="7"/>
        <v>0</v>
      </c>
      <c r="J56" s="661">
        <f t="shared" si="7"/>
        <v>0</v>
      </c>
      <c r="K56" s="661">
        <f t="shared" si="7"/>
        <v>33.677370158390261</v>
      </c>
      <c r="L56" s="661">
        <f t="shared" si="7"/>
        <v>0</v>
      </c>
      <c r="M56" s="661">
        <f t="shared" si="7"/>
        <v>0</v>
      </c>
      <c r="N56" s="661">
        <f t="shared" si="7"/>
        <v>0</v>
      </c>
      <c r="O56" s="661">
        <f t="shared" si="7"/>
        <v>0</v>
      </c>
      <c r="P56" s="661">
        <f t="shared" si="7"/>
        <v>0</v>
      </c>
      <c r="Q56" s="662">
        <f t="shared" si="7"/>
        <v>0</v>
      </c>
      <c r="R56" s="663">
        <f ca="1">SUM(R54:R55)</f>
        <v>1256.6946945242744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7223.7685931112101</v>
      </c>
      <c r="D61" s="669">
        <f t="shared" ref="D61:Q61" ca="1" si="8">D46+D52+D56</f>
        <v>0</v>
      </c>
      <c r="E61" s="669">
        <f t="shared" ca="1" si="8"/>
        <v>9371.7879137711061</v>
      </c>
      <c r="F61" s="669">
        <f t="shared" si="8"/>
        <v>216.78243704225977</v>
      </c>
      <c r="G61" s="669">
        <f t="shared" ca="1" si="8"/>
        <v>12433.803657213752</v>
      </c>
      <c r="H61" s="669">
        <f t="shared" si="8"/>
        <v>6243.1523028203592</v>
      </c>
      <c r="I61" s="669">
        <f t="shared" si="8"/>
        <v>1075.4969620289235</v>
      </c>
      <c r="J61" s="669">
        <f t="shared" si="8"/>
        <v>0</v>
      </c>
      <c r="K61" s="669">
        <f t="shared" si="8"/>
        <v>267.46296240703293</v>
      </c>
      <c r="L61" s="669">
        <f t="shared" si="8"/>
        <v>0</v>
      </c>
      <c r="M61" s="669">
        <f t="shared" ca="1" si="8"/>
        <v>0</v>
      </c>
      <c r="N61" s="669">
        <f t="shared" si="8"/>
        <v>0</v>
      </c>
      <c r="O61" s="669">
        <f t="shared" ca="1" si="8"/>
        <v>0</v>
      </c>
      <c r="P61" s="669">
        <f t="shared" si="8"/>
        <v>0</v>
      </c>
      <c r="Q61" s="669">
        <f t="shared" si="8"/>
        <v>0</v>
      </c>
      <c r="R61" s="669">
        <f ca="1">R46+R52+R56</f>
        <v>36832.254828394638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0.1996523337107611</v>
      </c>
      <c r="D63" s="710">
        <f t="shared" ca="1" si="9"/>
        <v>0</v>
      </c>
      <c r="E63" s="954">
        <f t="shared" ca="1" si="9"/>
        <v>0.20200000000000004</v>
      </c>
      <c r="F63" s="710">
        <f t="shared" si="9"/>
        <v>0.22700000000000004</v>
      </c>
      <c r="G63" s="710">
        <f t="shared" ca="1" si="9"/>
        <v>0.26700000000000007</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2001.0031044893803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1494</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4268.5714285714284</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3495.0031044893803</v>
      </c>
      <c r="C78" s="684">
        <f>SUM(C72:C77)</f>
        <v>0</v>
      </c>
      <c r="D78" s="685">
        <f t="shared" ref="D78:H78" si="10">SUM(D76:D77)</f>
        <v>0</v>
      </c>
      <c r="E78" s="685">
        <f t="shared" si="10"/>
        <v>0</v>
      </c>
      <c r="F78" s="685">
        <f t="shared" si="10"/>
        <v>0</v>
      </c>
      <c r="G78" s="685">
        <f t="shared" si="10"/>
        <v>0</v>
      </c>
      <c r="H78" s="685">
        <f t="shared" si="10"/>
        <v>0</v>
      </c>
      <c r="I78" s="685">
        <f>SUM(I76:I77)</f>
        <v>0</v>
      </c>
      <c r="J78" s="685">
        <f>SUM(J76:J77)</f>
        <v>4268.5714285714284</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9933.1972629079173</v>
      </c>
      <c r="C4" s="442">
        <f>huishoudens!C8</f>
        <v>0</v>
      </c>
      <c r="D4" s="442">
        <f>huishoudens!D8</f>
        <v>22038.305322</v>
      </c>
      <c r="E4" s="442">
        <f>huishoudens!E8</f>
        <v>392.01809982587838</v>
      </c>
      <c r="F4" s="442">
        <f>huishoudens!F8</f>
        <v>12366.948029366644</v>
      </c>
      <c r="G4" s="442">
        <f>huishoudens!G8</f>
        <v>0</v>
      </c>
      <c r="H4" s="442">
        <f>huishoudens!H8</f>
        <v>0</v>
      </c>
      <c r="I4" s="442">
        <f>huishoudens!I8</f>
        <v>0</v>
      </c>
      <c r="J4" s="442">
        <f>huishoudens!J8</f>
        <v>288.39676086589913</v>
      </c>
      <c r="K4" s="442">
        <f>huishoudens!K8</f>
        <v>0</v>
      </c>
      <c r="L4" s="442">
        <f>huishoudens!L8</f>
        <v>0</v>
      </c>
      <c r="M4" s="442">
        <f>huishoudens!M8</f>
        <v>0</v>
      </c>
      <c r="N4" s="442">
        <f>huishoudens!N8</f>
        <v>2637.4185019997467</v>
      </c>
      <c r="O4" s="442">
        <f>huishoudens!O8</f>
        <v>92.236666666666679</v>
      </c>
      <c r="P4" s="443">
        <f>huishoudens!P8</f>
        <v>57.2</v>
      </c>
      <c r="Q4" s="444">
        <f>SUM(B4:P4)</f>
        <v>47805.720643632747</v>
      </c>
    </row>
    <row r="5" spans="1:17">
      <c r="A5" s="441" t="s">
        <v>149</v>
      </c>
      <c r="B5" s="442">
        <f ca="1">tertiair!B16</f>
        <v>5806.0829999999996</v>
      </c>
      <c r="C5" s="442">
        <f ca="1">tertiair!C16</f>
        <v>0</v>
      </c>
      <c r="D5" s="442">
        <f ca="1">tertiair!D16</f>
        <v>5375.0179999999991</v>
      </c>
      <c r="E5" s="442">
        <f>tertiair!E16</f>
        <v>73.303891671802447</v>
      </c>
      <c r="F5" s="442">
        <f ca="1">tertiair!F16</f>
        <v>800.13021648573886</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1.5633333333333335</v>
      </c>
      <c r="P5" s="443">
        <f>tertiair!P16</f>
        <v>19.066666666666666</v>
      </c>
      <c r="Q5" s="441">
        <f t="shared" ref="Q5:Q14" ca="1" si="0">SUM(B5:P5)</f>
        <v>12075.165108157542</v>
      </c>
    </row>
    <row r="6" spans="1:17">
      <c r="A6" s="441" t="s">
        <v>187</v>
      </c>
      <c r="B6" s="442">
        <f>'openbare verlichting'!B8</f>
        <v>456.601</v>
      </c>
      <c r="C6" s="442"/>
      <c r="D6" s="442"/>
      <c r="E6" s="442"/>
      <c r="F6" s="442"/>
      <c r="G6" s="442"/>
      <c r="H6" s="442"/>
      <c r="I6" s="442"/>
      <c r="J6" s="442"/>
      <c r="K6" s="442"/>
      <c r="L6" s="442"/>
      <c r="M6" s="442"/>
      <c r="N6" s="442"/>
      <c r="O6" s="442"/>
      <c r="P6" s="443"/>
      <c r="Q6" s="441">
        <f t="shared" si="0"/>
        <v>456.601</v>
      </c>
    </row>
    <row r="7" spans="1:17">
      <c r="A7" s="441" t="s">
        <v>105</v>
      </c>
      <c r="B7" s="442">
        <f>landbouw!B8</f>
        <v>987.37199999999996</v>
      </c>
      <c r="C7" s="442">
        <f>landbouw!C8</f>
        <v>0</v>
      </c>
      <c r="D7" s="442">
        <f>landbouw!D8</f>
        <v>442.12251600000002</v>
      </c>
      <c r="E7" s="442">
        <f>landbouw!E8</f>
        <v>21.172750380315168</v>
      </c>
      <c r="F7" s="442">
        <f>landbouw!F8</f>
        <v>3202.7183805145846</v>
      </c>
      <c r="G7" s="442">
        <f>landbouw!G8</f>
        <v>0</v>
      </c>
      <c r="H7" s="442">
        <f>landbouw!H8</f>
        <v>0</v>
      </c>
      <c r="I7" s="442">
        <f>landbouw!I8</f>
        <v>0</v>
      </c>
      <c r="J7" s="442">
        <f>landbouw!J8</f>
        <v>95.133814006752161</v>
      </c>
      <c r="K7" s="442">
        <f>landbouw!K8</f>
        <v>0</v>
      </c>
      <c r="L7" s="442">
        <f>landbouw!L8</f>
        <v>0</v>
      </c>
      <c r="M7" s="442">
        <f>landbouw!M8</f>
        <v>0</v>
      </c>
      <c r="N7" s="442">
        <f>landbouw!N8</f>
        <v>0</v>
      </c>
      <c r="O7" s="442">
        <f>landbouw!O8</f>
        <v>0</v>
      </c>
      <c r="P7" s="443">
        <f>landbouw!P8</f>
        <v>0</v>
      </c>
      <c r="Q7" s="441">
        <f t="shared" si="0"/>
        <v>4748.5194609016517</v>
      </c>
    </row>
    <row r="8" spans="1:17">
      <c r="A8" s="441" t="s">
        <v>612</v>
      </c>
      <c r="B8" s="442">
        <f>industrie!B18</f>
        <v>18845.661</v>
      </c>
      <c r="C8" s="442">
        <f>industrie!C18</f>
        <v>0</v>
      </c>
      <c r="D8" s="442">
        <f>industrie!D18</f>
        <v>18299.192406000006</v>
      </c>
      <c r="E8" s="442">
        <f>industrie!E18</f>
        <v>400.65139742697619</v>
      </c>
      <c r="F8" s="442">
        <f>industrie!F18</f>
        <v>30198.756396905505</v>
      </c>
      <c r="G8" s="442">
        <f>industrie!G18</f>
        <v>0</v>
      </c>
      <c r="H8" s="442">
        <f>industrie!H18</f>
        <v>0</v>
      </c>
      <c r="I8" s="442">
        <f>industrie!I18</f>
        <v>0</v>
      </c>
      <c r="J8" s="442">
        <f>industrie!J18</f>
        <v>372.01451667263962</v>
      </c>
      <c r="K8" s="442">
        <f>industrie!K18</f>
        <v>0</v>
      </c>
      <c r="L8" s="442">
        <f>industrie!L18</f>
        <v>0</v>
      </c>
      <c r="M8" s="442">
        <f>industrie!M18</f>
        <v>0</v>
      </c>
      <c r="N8" s="442">
        <f>industrie!N18</f>
        <v>8283.0837019789706</v>
      </c>
      <c r="O8" s="442">
        <f>industrie!O18</f>
        <v>0</v>
      </c>
      <c r="P8" s="443">
        <f>industrie!P18</f>
        <v>0</v>
      </c>
      <c r="Q8" s="441">
        <f t="shared" si="0"/>
        <v>76399.35941898411</v>
      </c>
    </row>
    <row r="9" spans="1:17" s="447" customFormat="1">
      <c r="A9" s="445" t="s">
        <v>556</v>
      </c>
      <c r="B9" s="446">
        <f>transport!B14</f>
        <v>4.0981837148537466</v>
      </c>
      <c r="C9" s="446">
        <f>transport!C14</f>
        <v>0</v>
      </c>
      <c r="D9" s="446">
        <f>transport!D14</f>
        <v>7.1224281341725115</v>
      </c>
      <c r="E9" s="446">
        <f>transport!E14</f>
        <v>67.842570132295492</v>
      </c>
      <c r="F9" s="446">
        <f>transport!F14</f>
        <v>0</v>
      </c>
      <c r="G9" s="446">
        <f>transport!G14</f>
        <v>23230.364251161987</v>
      </c>
      <c r="H9" s="446">
        <f>transport!H14</f>
        <v>4319.2649077466804</v>
      </c>
      <c r="I9" s="446">
        <f>transport!I14</f>
        <v>0</v>
      </c>
      <c r="J9" s="446">
        <f>transport!J14</f>
        <v>0</v>
      </c>
      <c r="K9" s="446">
        <f>transport!K14</f>
        <v>0</v>
      </c>
      <c r="L9" s="446">
        <f>transport!L14</f>
        <v>0</v>
      </c>
      <c r="M9" s="446">
        <f>transport!M14</f>
        <v>1478.580301694107</v>
      </c>
      <c r="N9" s="446">
        <f>transport!N14</f>
        <v>0</v>
      </c>
      <c r="O9" s="446">
        <f>transport!O14</f>
        <v>0</v>
      </c>
      <c r="P9" s="446">
        <f>transport!P14</f>
        <v>0</v>
      </c>
      <c r="Q9" s="445">
        <f>SUM(B9:P9)</f>
        <v>29107.272642584096</v>
      </c>
    </row>
    <row r="10" spans="1:17">
      <c r="A10" s="441" t="s">
        <v>546</v>
      </c>
      <c r="B10" s="442">
        <f>transport!B54</f>
        <v>0.80337330195103951</v>
      </c>
      <c r="C10" s="442">
        <f>transport!C54</f>
        <v>0</v>
      </c>
      <c r="D10" s="442">
        <f>transport!D54</f>
        <v>0</v>
      </c>
      <c r="E10" s="442">
        <f>transport!E54</f>
        <v>0</v>
      </c>
      <c r="F10" s="442">
        <f>transport!F54</f>
        <v>0</v>
      </c>
      <c r="G10" s="442">
        <f>transport!G54</f>
        <v>152.22864329628686</v>
      </c>
      <c r="H10" s="442">
        <f>transport!H54</f>
        <v>0</v>
      </c>
      <c r="I10" s="442">
        <f>transport!I54</f>
        <v>0</v>
      </c>
      <c r="J10" s="442">
        <f>transport!J54</f>
        <v>0</v>
      </c>
      <c r="K10" s="442">
        <f>transport!K54</f>
        <v>0</v>
      </c>
      <c r="L10" s="442">
        <f>transport!L54</f>
        <v>0</v>
      </c>
      <c r="M10" s="442">
        <f>transport!M54</f>
        <v>8.7635040228832555</v>
      </c>
      <c r="N10" s="442">
        <f>transport!N54</f>
        <v>0</v>
      </c>
      <c r="O10" s="442">
        <f>transport!O54</f>
        <v>0</v>
      </c>
      <c r="P10" s="443">
        <f>transport!P54</f>
        <v>0</v>
      </c>
      <c r="Q10" s="441">
        <f t="shared" si="0"/>
        <v>161.79552062112117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147.923</v>
      </c>
      <c r="C14" s="449"/>
      <c r="D14" s="449">
        <f>'SEAP template'!E25</f>
        <v>233.22900000000001</v>
      </c>
      <c r="E14" s="449"/>
      <c r="F14" s="449"/>
      <c r="G14" s="449"/>
      <c r="H14" s="449"/>
      <c r="I14" s="449"/>
      <c r="J14" s="449"/>
      <c r="K14" s="449"/>
      <c r="L14" s="449"/>
      <c r="M14" s="449"/>
      <c r="N14" s="449"/>
      <c r="O14" s="449"/>
      <c r="P14" s="450"/>
      <c r="Q14" s="441">
        <f t="shared" si="0"/>
        <v>381.15200000000004</v>
      </c>
    </row>
    <row r="15" spans="1:17" s="451" customFormat="1">
      <c r="A15" s="969" t="s">
        <v>550</v>
      </c>
      <c r="B15" s="909">
        <f ca="1">SUM(B4:B14)</f>
        <v>36181.738819924714</v>
      </c>
      <c r="C15" s="909">
        <f t="shared" ref="C15:Q15" ca="1" si="1">SUM(C4:C14)</f>
        <v>0</v>
      </c>
      <c r="D15" s="909">
        <f t="shared" ca="1" si="1"/>
        <v>46394.989672134172</v>
      </c>
      <c r="E15" s="909">
        <f t="shared" si="1"/>
        <v>954.98870943726763</v>
      </c>
      <c r="F15" s="909">
        <f t="shared" ca="1" si="1"/>
        <v>46568.55302327247</v>
      </c>
      <c r="G15" s="909">
        <f t="shared" si="1"/>
        <v>23382.592894458274</v>
      </c>
      <c r="H15" s="909">
        <f t="shared" si="1"/>
        <v>4319.2649077466804</v>
      </c>
      <c r="I15" s="909">
        <f t="shared" si="1"/>
        <v>0</v>
      </c>
      <c r="J15" s="909">
        <f t="shared" si="1"/>
        <v>755.54509154529092</v>
      </c>
      <c r="K15" s="909">
        <f t="shared" si="1"/>
        <v>0</v>
      </c>
      <c r="L15" s="909">
        <f t="shared" ca="1" si="1"/>
        <v>0</v>
      </c>
      <c r="M15" s="909">
        <f t="shared" si="1"/>
        <v>1487.3438057169903</v>
      </c>
      <c r="N15" s="909">
        <f t="shared" ca="1" si="1"/>
        <v>10920.502203978718</v>
      </c>
      <c r="O15" s="909">
        <f t="shared" si="1"/>
        <v>93.800000000000011</v>
      </c>
      <c r="P15" s="909">
        <f t="shared" si="1"/>
        <v>76.266666666666666</v>
      </c>
      <c r="Q15" s="909">
        <f t="shared" ca="1" si="1"/>
        <v>171135.58579488128</v>
      </c>
    </row>
    <row r="17" spans="1:17">
      <c r="A17" s="452" t="s">
        <v>551</v>
      </c>
      <c r="B17" s="715">
        <f ca="1">huishoudens!B10</f>
        <v>0.1996523337107611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1983.1860147489103</v>
      </c>
      <c r="C22" s="442">
        <f t="shared" ref="C22:C32" ca="1" si="3">C4*$C$17</f>
        <v>0</v>
      </c>
      <c r="D22" s="442">
        <f t="shared" ref="D22:D32" si="4">D4*$D$17</f>
        <v>4451.7376750440008</v>
      </c>
      <c r="E22" s="442">
        <f t="shared" ref="E22:E32" si="5">E4*$E$17</f>
        <v>88.988108660474396</v>
      </c>
      <c r="F22" s="442">
        <f t="shared" ref="F22:F32" si="6">F4*$F$17</f>
        <v>3301.975123840894</v>
      </c>
      <c r="G22" s="442">
        <f t="shared" ref="G22:G32" si="7">G4*$G$17</f>
        <v>0</v>
      </c>
      <c r="H22" s="442">
        <f t="shared" ref="H22:H32" si="8">H4*$H$17</f>
        <v>0</v>
      </c>
      <c r="I22" s="442">
        <f t="shared" ref="I22:I32" si="9">I4*$I$17</f>
        <v>0</v>
      </c>
      <c r="J22" s="442">
        <f t="shared" ref="J22:J32" si="10">J4*$J$17</f>
        <v>102.09245334652829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9927.9793756408071</v>
      </c>
    </row>
    <row r="23" spans="1:17">
      <c r="A23" s="441" t="s">
        <v>149</v>
      </c>
      <c r="B23" s="442">
        <f t="shared" ca="1" si="2"/>
        <v>1159.1980206683768</v>
      </c>
      <c r="C23" s="442">
        <f t="shared" ca="1" si="3"/>
        <v>0</v>
      </c>
      <c r="D23" s="442">
        <f t="shared" ca="1" si="4"/>
        <v>1085.7536359999999</v>
      </c>
      <c r="E23" s="442">
        <f t="shared" si="5"/>
        <v>16.639983409499155</v>
      </c>
      <c r="F23" s="442">
        <f t="shared" ca="1" si="6"/>
        <v>213.63476780169228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2475.2264078795683</v>
      </c>
    </row>
    <row r="24" spans="1:17">
      <c r="A24" s="441" t="s">
        <v>187</v>
      </c>
      <c r="B24" s="442">
        <f t="shared" ca="1" si="2"/>
        <v>91.161455224667236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91.161455224667236</v>
      </c>
    </row>
    <row r="25" spans="1:17">
      <c r="A25" s="441" t="s">
        <v>105</v>
      </c>
      <c r="B25" s="442">
        <f t="shared" ca="1" si="2"/>
        <v>197.1311240406616</v>
      </c>
      <c r="C25" s="442">
        <f t="shared" ca="1" si="3"/>
        <v>0</v>
      </c>
      <c r="D25" s="442">
        <f t="shared" si="4"/>
        <v>89.308748232000013</v>
      </c>
      <c r="E25" s="442">
        <f t="shared" si="5"/>
        <v>4.8062143363315437</v>
      </c>
      <c r="F25" s="442">
        <f t="shared" si="6"/>
        <v>855.1258075973941</v>
      </c>
      <c r="G25" s="442">
        <f t="shared" si="7"/>
        <v>0</v>
      </c>
      <c r="H25" s="442">
        <f t="shared" si="8"/>
        <v>0</v>
      </c>
      <c r="I25" s="442">
        <f t="shared" si="9"/>
        <v>0</v>
      </c>
      <c r="J25" s="442">
        <f t="shared" si="10"/>
        <v>33.677370158390261</v>
      </c>
      <c r="K25" s="442">
        <f t="shared" si="11"/>
        <v>0</v>
      </c>
      <c r="L25" s="442">
        <f t="shared" si="12"/>
        <v>0</v>
      </c>
      <c r="M25" s="442">
        <f t="shared" si="13"/>
        <v>0</v>
      </c>
      <c r="N25" s="442">
        <f t="shared" si="14"/>
        <v>0</v>
      </c>
      <c r="O25" s="442">
        <f t="shared" si="15"/>
        <v>0</v>
      </c>
      <c r="P25" s="443">
        <f t="shared" si="16"/>
        <v>0</v>
      </c>
      <c r="Q25" s="441">
        <f t="shared" ca="1" si="17"/>
        <v>1180.0492643647774</v>
      </c>
    </row>
    <row r="26" spans="1:17">
      <c r="A26" s="441" t="s">
        <v>612</v>
      </c>
      <c r="B26" s="442">
        <f t="shared" ca="1" si="2"/>
        <v>3762.5801989718757</v>
      </c>
      <c r="C26" s="442">
        <f t="shared" ca="1" si="3"/>
        <v>0</v>
      </c>
      <c r="D26" s="442">
        <f t="shared" si="4"/>
        <v>3696.4368660120012</v>
      </c>
      <c r="E26" s="442">
        <f t="shared" si="5"/>
        <v>90.947867215923594</v>
      </c>
      <c r="F26" s="442">
        <f t="shared" si="6"/>
        <v>8063.0679579737698</v>
      </c>
      <c r="G26" s="442">
        <f t="shared" si="7"/>
        <v>0</v>
      </c>
      <c r="H26" s="442">
        <f t="shared" si="8"/>
        <v>0</v>
      </c>
      <c r="I26" s="442">
        <f t="shared" si="9"/>
        <v>0</v>
      </c>
      <c r="J26" s="442">
        <f t="shared" si="10"/>
        <v>131.69313890211441</v>
      </c>
      <c r="K26" s="442">
        <f t="shared" si="11"/>
        <v>0</v>
      </c>
      <c r="L26" s="442">
        <f t="shared" si="12"/>
        <v>0</v>
      </c>
      <c r="M26" s="442">
        <f t="shared" si="13"/>
        <v>0</v>
      </c>
      <c r="N26" s="442">
        <f t="shared" si="14"/>
        <v>0</v>
      </c>
      <c r="O26" s="442">
        <f t="shared" si="15"/>
        <v>0</v>
      </c>
      <c r="P26" s="443">
        <f t="shared" si="16"/>
        <v>0</v>
      </c>
      <c r="Q26" s="441">
        <f t="shared" ca="1" si="17"/>
        <v>15744.726029075684</v>
      </c>
    </row>
    <row r="27" spans="1:17" s="447" customFormat="1">
      <c r="A27" s="445" t="s">
        <v>556</v>
      </c>
      <c r="B27" s="709">
        <f t="shared" ca="1" si="2"/>
        <v>0.81821194264598684</v>
      </c>
      <c r="C27" s="446">
        <f t="shared" ca="1" si="3"/>
        <v>0</v>
      </c>
      <c r="D27" s="446">
        <f t="shared" si="4"/>
        <v>1.4387304831028473</v>
      </c>
      <c r="E27" s="446">
        <f t="shared" si="5"/>
        <v>15.400263420031077</v>
      </c>
      <c r="F27" s="446">
        <f t="shared" si="6"/>
        <v>0</v>
      </c>
      <c r="G27" s="446">
        <f t="shared" si="7"/>
        <v>6202.5072550602508</v>
      </c>
      <c r="H27" s="446">
        <f t="shared" si="8"/>
        <v>1075.4969620289235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7295.6614229349543</v>
      </c>
    </row>
    <row r="28" spans="1:17">
      <c r="A28" s="441" t="s">
        <v>546</v>
      </c>
      <c r="B28" s="442">
        <f t="shared" ca="1" si="2"/>
        <v>0.16039535457544499</v>
      </c>
      <c r="C28" s="442">
        <f t="shared" ca="1" si="3"/>
        <v>0</v>
      </c>
      <c r="D28" s="442">
        <f t="shared" si="4"/>
        <v>0</v>
      </c>
      <c r="E28" s="442">
        <f t="shared" si="5"/>
        <v>0</v>
      </c>
      <c r="F28" s="442">
        <f t="shared" si="6"/>
        <v>0</v>
      </c>
      <c r="G28" s="442">
        <f t="shared" si="7"/>
        <v>40.645047760108596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40.805443114684039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29.533172159496914</v>
      </c>
      <c r="C32" s="442">
        <f t="shared" ca="1" si="3"/>
        <v>0</v>
      </c>
      <c r="D32" s="442">
        <f t="shared" si="4"/>
        <v>47.112258000000004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76.645430159496925</v>
      </c>
    </row>
    <row r="33" spans="1:17" s="451" customFormat="1">
      <c r="A33" s="969" t="s">
        <v>550</v>
      </c>
      <c r="B33" s="909">
        <f ca="1">SUM(B22:B32)</f>
        <v>7223.7685931112101</v>
      </c>
      <c r="C33" s="909">
        <f t="shared" ref="C33:Q33" ca="1" si="18">SUM(C22:C32)</f>
        <v>0</v>
      </c>
      <c r="D33" s="909">
        <f t="shared" ca="1" si="18"/>
        <v>9371.7879137711043</v>
      </c>
      <c r="E33" s="909">
        <f t="shared" si="18"/>
        <v>216.78243704225977</v>
      </c>
      <c r="F33" s="909">
        <f t="shared" ca="1" si="18"/>
        <v>12433.80365721375</v>
      </c>
      <c r="G33" s="909">
        <f t="shared" si="18"/>
        <v>6243.1523028203592</v>
      </c>
      <c r="H33" s="909">
        <f t="shared" si="18"/>
        <v>1075.4969620289235</v>
      </c>
      <c r="I33" s="909">
        <f t="shared" si="18"/>
        <v>0</v>
      </c>
      <c r="J33" s="909">
        <f t="shared" si="18"/>
        <v>267.46296240703293</v>
      </c>
      <c r="K33" s="909">
        <f t="shared" si="18"/>
        <v>0</v>
      </c>
      <c r="L33" s="909">
        <f t="shared" ca="1" si="18"/>
        <v>0</v>
      </c>
      <c r="M33" s="909">
        <f t="shared" si="18"/>
        <v>0</v>
      </c>
      <c r="N33" s="909">
        <f t="shared" ca="1" si="18"/>
        <v>0</v>
      </c>
      <c r="O33" s="909">
        <f t="shared" si="18"/>
        <v>0</v>
      </c>
      <c r="P33" s="909">
        <f t="shared" si="18"/>
        <v>0</v>
      </c>
      <c r="Q33" s="909">
        <f t="shared" ca="1" si="18"/>
        <v>36832.254828394638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2001.0031044893803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1494</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4268.5714285714284</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3495.0031044893803</v>
      </c>
      <c r="C10" s="990">
        <f>SUM(C4:C9)</f>
        <v>0</v>
      </c>
      <c r="D10" s="990">
        <f t="shared" ref="D10:H10" si="0">SUM(D8:D9)</f>
        <v>0</v>
      </c>
      <c r="E10" s="990">
        <f t="shared" si="0"/>
        <v>0</v>
      </c>
      <c r="F10" s="990">
        <f t="shared" si="0"/>
        <v>0</v>
      </c>
      <c r="G10" s="990">
        <f t="shared" si="0"/>
        <v>0</v>
      </c>
      <c r="H10" s="990">
        <f t="shared" si="0"/>
        <v>0</v>
      </c>
      <c r="I10" s="990">
        <f>SUM(I8:I9)</f>
        <v>0</v>
      </c>
      <c r="J10" s="990">
        <f>SUM(J8:J9)</f>
        <v>4268.5714285714284</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0.1996523337107611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0.1996523337107611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2022-07-26T11:36:52Z</dcterms:modified>
</cp:coreProperties>
</file>