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A4BB44AA-88A1-4047-960A-1A0BF91BED3E}"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<sst xmlns="http://schemas.openxmlformats.org/spreadsheetml/2006/main" count="2431" uniqueCount="904">
  <si>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</si>
  <si>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</si>
  <si>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</si>
  <si>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</si>
  <si>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</si>
  <si>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</si>
  <si>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</si>
  <si>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</si>
  <si>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</si>
  <si>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</si>
  <si>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</si>
  <si>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</si>
  <si>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</si>
  <si>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</si>
  <si>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</si>
  <si>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</si>
  <si>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</si>
  <si>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</si>
  <si>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</si>
  <si>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</si>
  <si>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</si>
  <si>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</si>
  <si>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</si>
  <si>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</si>
  <si>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</si>
  <si>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</si>
  <si>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</si>
  <si>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</si>
  <si>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</si>
  <si>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</si>
  <si>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</si>
  <si>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</si>
  <si>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</si>
  <si>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</si>
  <si>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</si>
  <si>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</si>
  <si>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</si>
  <si>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</si>
  <si>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</si>
  <si>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</si>
  <si>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</si>
  <si>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</si>
  <si>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</si>
  <si>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</si>
  <si>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</si>
  <si>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</si>
  <si>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</si>
  <si>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</si>
  <si>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</si>
  <si>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</si>
  <si>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</si>
  <si>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</si>
  <si>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</si>
  <si>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</si>
  <si>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</si>
  <si>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</si>
  <si>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</si>
  <si>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</si>
  <si>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</si>
  <si>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</si>
  <si>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</si>
  <si>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</si>
  <si>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</si>
  <si>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</si>
  <si>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</si>
  <si>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</si>
  <si>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</si>
  <si>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</si>
  <si>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</si>
  <si>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</si>
  <si>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</si>
  <si>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</si>
  <si>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</si>
  <si>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</si>
  <si>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</si>
  <si>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</si>
  <si>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</si>
  <si>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</si>
  <si>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</si>
  <si>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</si>
  <si>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</si>
  <si>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</si>
  <si>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</si>
  <si>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</si>
  <si>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</si>
  <si>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</si>
  <si>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</si>
  <si>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</si>
  <si>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</si>
  <si>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</si>
  <si>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</si>
  <si>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</si>
  <si>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</si>
  <si>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</si>
  <si>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</si>
  <si>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</si>
  <si>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</si>
  <si>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</si>
  <si>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</si>
  <si>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</si>
  <si>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</si>
  <si>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</si>
  <si>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</si>
  <si>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</si>
  <si>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</si>
  <si>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</si>
  <si>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</si>
  <si>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</si>
  <si>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</si>
  <si>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</si>
  <si>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</si>
  <si>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</si>
  <si>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</si>
  <si>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</si>
  <si>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</si>
  <si>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</si>
  <si>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</si>
  <si>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</si>
  <si>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</si>
  <si>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</si>
  <si>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</si>
  <si>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</si>
  <si>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</si>
  <si>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</si>
  <si>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</si>
  <si>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</si>
  <si>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</si>
  <si>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</si>
  <si>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</si>
  <si>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</si>
  <si>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</si>
  <si>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</si>
  <si>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</si>
  <si>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</si>
  <si>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</si>
  <si>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</si>
  <si>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</si>
  <si>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</si>
  <si>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</si>
  <si>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</si>
  <si>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</si>
  <si>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</si>
  <si>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</si>
  <si>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</si>
  <si>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</si>
  <si>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</si>
  <si>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</si>
  <si>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</si>
  <si>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</si>
  <si>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</si>
  <si>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</si>
  <si>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</si>
  <si>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</si>
  <si>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</si>
  <si>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</si>
  <si>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</si>
  <si>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</si>
  <si>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</si>
  <si>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</si>
  <si>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</si>
  <si>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</si>
  <si>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</si>
  <si>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</si>
  <si>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</si>
  <si>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</si>
  <si>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</si>
  <si>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</si>
  <si>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</si>
  <si>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</si>
  <si>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</si>
  <si>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</si>
  <si>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</si>
  <si>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</si>
  <si>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</si>
  <si>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</si>
  <si>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</si>
  <si>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</si>
  <si>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</si>
  <si>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</si>
  <si>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</si>
  <si>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</si>
  <si>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</si>
  <si>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</si>
  <si>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</si>
  <si>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</si>
  <si>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</si>
  <si>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</si>
  <si>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</si>
  <si>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</si>
  <si>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</si>
  <si>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</si>
  <si>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</si>
  <si>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</si>
  <si>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</si>
  <si>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</si>
  <si>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</si>
  <si>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</si>
  <si>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</si>
  <si>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</si>
  <si>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</si>
  <si>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</si>
  <si>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</si>
  <si>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</si>
  <si>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</si>
  <si>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</si>
  <si>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</si>
  <si>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</si>
  <si>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</si>
  <si>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</si>
  <si>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</si>
  <si>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</si>
  <si>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</si>
  <si>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</si>
  <si>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</si>
  <si>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</si>
  <si>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</si>
  <si>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</si>
  <si>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</si>
  <si>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</si>
  <si>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</si>
  <si>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</si>
  <si>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</si>
  <si>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</si>
  <si>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</si>
  <si>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</si>
  <si>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</si>
  <si>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</si>
  <si>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</si>
  <si>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</si>
  <si>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</si>
  <si>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</si>
  <si>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</si>
  <si>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</si>
  <si>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</si>
  <si>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</si>
  <si>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</si>
  <si>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</si>
  <si>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</si>
  <si>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</si>
  <si>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</si>
  <si>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</si>
  <si>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</si>
  <si>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</si>
  <si>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</si>
  <si>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</si>
  <si>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</si>
  <si>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</si>
  <si>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</si>
  <si>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</si>
  <si>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</si>
  <si>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</si>
  <si>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</si>
  <si>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</si>
  <si>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</si>
  <si>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</si>
  <si>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</si>
  <si>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</si>
  <si>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</si>
  <si>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</si>
  <si>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</si>
  <si>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</si>
  <si>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</si>
  <si>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</si>
  <si>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</si>
  <si>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</si>
  <si>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</si>
  <si>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</si>
  <si>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</si>
  <si>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</si>
  <si>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</si>
  <si>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</si>
  <si>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</si>
  <si>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</si>
  <si>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</si>
  <si>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</si>
  <si>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</si>
  <si>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</si>
  <si>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</si>
  <si>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</si>
  <si>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</si>
  <si>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</si>
  <si>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</si>
  <si>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</si>
  <si>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</si>
  <si>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</si>
  <si>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</si>
  <si>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</si>
  <si>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</si>
  <si>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</si>
  <si>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</si>
  <si>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</si>
  <si>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</si>
  <si>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</si>
  <si>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</si>
  <si>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</si>
  <si>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</si>
  <si>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</si>
  <si>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</si>
  <si>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</si>
  <si>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</si>
  <si>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</si>
  <si>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</si>
  <si>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</si>
  <si>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</si>
  <si>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</si>
  <si>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</si>
  <si>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</si>
  <si>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</si>
  <si>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</si>
  <si>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</si>
  <si>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</si>
  <si>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</si>
  <si>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</si>
  <si>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</si>
  <si>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</si>
  <si>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</si>
  <si>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</si>
  <si>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</si>
  <si>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</si>
  <si>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</si>
  <si>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</si>
  <si>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</si>
  <si>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</si>
  <si>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</si>
  <si>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</si>
  <si>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</si>
  <si>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</si>
  <si>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</si>
  <si>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</si>
  <si>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</si>
  <si>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</si>
  <si>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</si>
  <si>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</si>
  <si>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</si>
  <si>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</si>
  <si>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</si>
  <si>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</si>
  <si>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</si>
  <si>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</si>
  <si>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</si>
  <si>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</si>
  <si>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</si>
  <si>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</si>
  <si>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</si>
  <si>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</si>
  <si>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</si>
  <si>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</si>
  <si>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</si>
  <si>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</si>
  <si>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</si>
  <si>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</si>
  <si>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</si>
  <si>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</si>
  <si>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</si>
  <si>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</si>
  <si>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</si>
  <si>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</si>
  <si>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</si>
  <si>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</si>
  <si>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</si>
  <si>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</si>
  <si>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</si>
  <si>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</si>
  <si>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</si>
  <si>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</si>
  <si>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</si>
  <si>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</si>
  <si>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</si>
  <si>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</si>
  <si>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</si>
  <si>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</si>
  <si>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</si>
  <si>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</si>
  <si>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</si>
  <si>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</si>
  <si>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</si>
  <si>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</si>
  <si>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</si>
  <si>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</si>
  <si>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</si>
  <si>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</si>
  <si>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</si>
  <si>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</si>
  <si>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</si>
  <si>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</si>
  <si>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</si>
  <si>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</si>
  <si>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</si>
  <si>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</si>
  <si>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</si>
  <si>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</si>
  <si>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</si>
  <si>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</si>
  <si>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</si>
  <si>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</si>
  <si>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</si>
  <si>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</si>
  <si>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</si>
  <si>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</si>
  <si>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</si>
  <si>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</si>
  <si>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</si>
  <si>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</si>
  <si>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</si>
  <si>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</si>
  <si>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</si>
  <si>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</si>
  <si>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</si>
  <si>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</si>
  <si>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</si>
  <si>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</si>
  <si>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</si>
  <si>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</si>
  <si>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</si>
  <si>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</si>
  <si>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</si>
  <si>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</si>
  <si>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</si>
  <si>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</si>
  <si>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</si>
  <si>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</si>
  <si>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</si>
  <si>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</si>
  <si>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</si>
  <si>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</si>
  <si>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</si>
  <si>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</si>
  <si>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</si>
  <si>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</si>
  <si>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</si>
  <si>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</si>
  <si>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</si>
  <si>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</si>
  <si>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</si>
  <si>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</si>
  <si>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</si>
  <si>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</si>
  <si>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</si>
  <si>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</si>
  <si>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</si>
  <si>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</si>
  <si>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</si>
  <si>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</si>
  <si>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</si>
  <si>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</si>
  <si>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</si>
  <si>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</si>
  <si>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</si>
  <si>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</si>
  <si>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</si>
  <si>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</si>
  <si>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</si>
  <si>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</si>
  <si>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</si>
  <si>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</si>
  <si>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</si>
  <si>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</si>
  <si>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</si>
  <si>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</si>
  <si>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</si>
  <si>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</si>
  <si>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</si>
  <si>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</si>
  <si>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</si>
  <si>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</si>
  <si>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</si>
  <si>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</si>
  <si>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</si>
  <si>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</si>
  <si>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</si>
  <si>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</si>
  <si>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</si>
  <si>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</si>
  <si>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</si>
  <si>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</si>
  <si>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</si>
  <si>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</si>
  <si>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</si>
  <si>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</si>
  <si>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</si>
  <si>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</si>
  <si>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</si>
  <si>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</si>
  <si>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</si>
  <si>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</si>
  <si>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</si>
  <si>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</si>
  <si>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</si>
  <si>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</si>
  <si>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</si>
  <si>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</si>
  <si>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</si>
  <si>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</si>
  <si>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</si>
  <si>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</si>
  <si>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</si>
  <si>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</si>
  <si>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</si>
  <si>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</si>
  <si>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</si>
  <si>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</si>
  <si>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</si>
  <si>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</si>
  <si>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</si>
  <si>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</si>
  <si>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</si>
  <si>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</si>
  <si>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</si>
  <si>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</si>
  <si>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</si>
  <si>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</si>
  <si>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</si>
  <si>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</si>
  <si>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</si>
  <si>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</si>
  <si>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</si>
  <si>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</si>
  <si>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</si>
  <si>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</si>
  <si>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</si>
  <si>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</si>
  <si>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</si>
  <si>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</si>
  <si>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</si>
  <si>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</si>
  <si>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</si>
  <si>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</si>
  <si>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</si>
  <si>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</si>
  <si>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</si>
  <si>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</si>
  <si>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</si>
  <si>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</si>
  <si>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</si>
  <si>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</si>
  <si>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</si>
  <si>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</si>
  <si>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</si>
  <si>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</si>
  <si>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</si>
  <si>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</si>
  <si>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</si>
  <si>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</si>
  <si>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</si>
  <si>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</si>
  <si>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</si>
  <si>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</si>
  <si>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</si>
  <si>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</si>
  <si>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</si>
  <si>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</si>
  <si>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</si>
  <si>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</si>
  <si>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</si>
  <si>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</si>
  <si>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</si>
  <si>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</si>
  <si>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</si>
  <si>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</si>
  <si>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</si>
  <si>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</si>
  <si>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</si>
  <si>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</si>
  <si>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</si>
  <si>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</si>
  <si>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</si>
  <si>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</si>
  <si>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</si>
  <si>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</si>
  <si>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</si>
  <si>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</si>
  <si>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</si>
  <si>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</si>
  <si>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</si>
  <si>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</si>
  <si>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</si>
  <si>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</si>
  <si>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</si>
  <si>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</si>
  <si>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</si>
  <si>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</si>
  <si>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</si>
  <si>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</si>
  <si>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</si>
  <si>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</si>
  <si>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</si>
  <si>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</si>
  <si>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</si>
  <si>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</si>
  <si>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</si>
  <si>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</si>
  <si>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</si>
  <si>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</si>
  <si>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</si>
  <si>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</si>
  <si>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</si>
  <si>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</si>
  <si>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</si>
  <si>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</si>
  <si>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</si>
  <si>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</si>
  <si>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</si>
  <si>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</si>
  <si>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</si>
  <si>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</si>
  <si>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</si>
  <si>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</si>
  <si>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</si>
  <si>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</si>
  <si>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</si>
  <si>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</si>
  <si>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</si>
  <si>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</si>
  <si>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</si>
  <si>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</si>
  <si>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</si>
  <si>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</si>
  <si>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</si>
  <si>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</si>
  <si>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</si>
  <si>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</si>
  <si>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</si>
  <si>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</si>
  <si>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</si>
  <si>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</si>
  <si>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</si>
  <si>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</si>
  <si>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</si>
  <si>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</si>
  <si>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</si>
  <si>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</si>
  <si>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</si>
  <si>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</si>
  <si>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</si>
  <si>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</si>
  <si>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</si>
  <si>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</si>
  <si>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</si>
  <si>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</si>
  <si>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</si>
  <si>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</si>
  <si>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</si>
  <si>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</si>
  <si>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</si>
  <si>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</si>
  <si>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</si>
  <si>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</si>
  <si>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</si>
  <si>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</si>
  <si>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</si>
  <si>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</si>
  <si>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</si>
  <si>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</si>
  <si>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</si>
  <si>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</si>
  <si>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</si>
  <si>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</si>
  <si>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</si>
  <si>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</si>
  <si>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</si>
  <si>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</si>
  <si>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</si>
  <si>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</si>
  <si>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</si>
  <si>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</si>
  <si>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</si>
  <si>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</si>
  <si>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</si>
  <si>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</si>
  <si>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</si>
  <si>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</si>
  <si>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</si>
  <si>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</si>
  <si>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</si>
  <si>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</si>
  <si>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</si>
  <si>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</si>
  <si>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</si>
  <si>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</si>
  <si>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</si>
  <si>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</si>
  <si>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</si>
  <si>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</si>
  <si>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</si>
  <si>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</si>
  <si>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</si>
  <si>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</si>
  <si>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</si>
  <si>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</si>
  <si>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</si>
  <si>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</si>
  <si>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</si>
  <si>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</si>
  <si>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</si>
  <si>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</si>
  <si>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</si>
  <si>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</si>
  <si>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</si>
  <si>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</si>
  <si>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</si>
  <si>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</si>
  <si>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</si>
  <si>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</si>
  <si>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</si>
  <si>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</si>
  <si>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</si>
  <si>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</si>
  <si>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</si>
  <si>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</si>
  <si>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</si>
  <si>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</si>
  <si>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</si>
  <si>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</si>
  <si>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</si>
  <si>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</si>
  <si>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</si>
  <si>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</si>
  <si>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</si>
  <si>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</si>
  <si>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</si>
  <si>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</si>
  <si>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</si>
  <si>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</si>
  <si>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</si>
  <si>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</si>
  <si>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</si>
  <si>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</si>
  <si>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</si>
  <si>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</si>
  <si>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</si>
  <si>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</si>
  <si>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</si>
  <si>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</si>
  <si>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</si>
  <si>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</si>
  <si>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</si>
  <si>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</si>
  <si>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</si>
  <si>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</si>
  <si>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</si>
  <si>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</si>
  <si>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</si>
  <si>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</si>
  <si>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</si>
  <si>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</si>
  <si>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</si>
  <si>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</si>
  <si>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</si>
  <si>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</si>
  <si>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</si>
  <si>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</si>
  <si>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</si>
  <si>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</si>
  <si>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</si>
  <si>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</si>
  <si>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</si>
  <si>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</si>
  <si>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</si>
  <si>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</si>
  <si>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</si>
  <si>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</si>
  <si>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</si>
  <si>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</si>
  <si>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</si>
  <si>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</si>
  <si>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</si>
  <si>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</si>
  <si>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</si>
  <si>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</si>
  <si>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</si>
  <si>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</si>
  <si>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</si>
  <si>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</si>
  <si>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</si>
  <si>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</si>
  <si>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</si>
  <si>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</si>
  <si>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</si>
  <si>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</si>
  <si>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</si>
  <si>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</si>
  <si>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</si>
  <si>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</si>
  <si>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</si>
  <si>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</si>
  <si>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</si>
  <si>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</si>
  <si>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</si>
  <si>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</si>
  <si>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</si>
  <si>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</si>
  <si>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</si>
  <si>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</si>
  <si>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</si>
  <si>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</si>
  <si>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</si>
  <si>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</si>
  <si>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</si>
  <si>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</si>
  <si>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</si>
  <si>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</si>
  <si>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</si>
  <si>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</si>
  <si>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</si>
  <si>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</si>
  <si>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</si>
  <si>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</si>
  <si>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</si>
  <si>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</si>
  <si>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</si>
  <si>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</si>
  <si>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</si>
  <si>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</si>
  <si>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</si>
  <si>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</si>
  <si>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</si>
  <si>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</si>
  <si>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</si>
  <si>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</si>
  <si>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</si>
  <si>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</si>
  <si>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</si>
  <si>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</si>
  <si>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</si>
  <si>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</si>
  <si>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</si>
  <si>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</si>
  <si>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</si>
  <si>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</si>
  <si>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</si>
  <si>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</si>
  <si>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</si>
  <si>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</si>
  <si>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</si>
  <si>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</si>
  <si>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</si>
  <si>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</si>
  <si>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</si>
  <si>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</si>
  <si>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</si>
  <si>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</si>
  <si>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</si>
  <si>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</si>
  <si>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</si>
  <si>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</si>
  <si>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</si>
  <si>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</si>
  <si>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</si>
  <si>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</si>
  <si>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</si>
  <si>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</si>
  <si>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</si>
  <si>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</si>
  <si>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</si>
  <si>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</si>
  <si>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</si>
  <si>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</si>
  <si>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</si>
  <si>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</si>
  <si>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</si>
  <si>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</si>
  <si>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</si>
  <si>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</si>
  <si>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</si>
  <si>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</si>
  <si>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</si>
  <si>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</si>
  <si>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</si>
  <si>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</si>
  <si>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</si>
  <si>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</si>
  <si>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</si>
  <si>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</si>
  <si>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</si>
  <si>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</si>
  <si>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</si>
  <si>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</si>
  <si>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</si>
  <si>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</si>
  <si>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</si>
  <si>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</si>
  <si>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</si>
  <si>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</si>
  <si>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</si>
  <si>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</si>
  <si>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</si>
  <si>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</si>
  <si>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</si>
  <si>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</si>
  <si>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</si>
  <si>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</si>
  <si>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</si>
  <si>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</si>
  <si>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</si>
  <si>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</si>
  <si>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</si>
  <si>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</si>
  <si>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</si>
  <si>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</si>
  <si>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34003</t>
  </si>
  <si>
    <t>AVELGEM</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</si>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</sst>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C0FAAB41-89A1-485F-B69B-14129279E7C7}"/>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87831.493034951578</c:v>
                </c:pt>
                <c:pt idx="1">
                  <c:v>25248.36886622462</c:v>
                </c:pt>
                <c:pt idx="2">
                  <c:v>649.09799999999996</c:v>
                </c:pt>
                <c:pt idx="3">
                  <c:v>2107.4256927866659</c:v>
                </c:pt>
                <c:pt idx="4">
                  <c:v>186680.29726088466</c:v>
                </c:pt>
                <c:pt idx="5">
                  <c:v>39128.687613206639</c:v>
                </c:pt>
                <c:pt idx="6">
                  <c:v>1025.2970557089757</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87831.493034951578</c:v>
                </c:pt>
                <c:pt idx="1">
                  <c:v>25248.36886622462</c:v>
                </c:pt>
                <c:pt idx="2">
                  <c:v>649.09799999999996</c:v>
                </c:pt>
                <c:pt idx="3">
                  <c:v>2107.4256927866659</c:v>
                </c:pt>
                <c:pt idx="4">
                  <c:v>186680.29726088466</c:v>
                </c:pt>
                <c:pt idx="5">
                  <c:v>39128.687613206639</c:v>
                </c:pt>
                <c:pt idx="6">
                  <c:v>1025.2970557089757</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19174.289019405631</c:v>
                </c:pt>
                <c:pt idx="2">
                  <c:v>5018.6920815356052</c:v>
                </c:pt>
                <c:pt idx="3">
                  <c:v>126.15358117261471</c:v>
                </c:pt>
                <c:pt idx="4">
                  <c:v>524.5219799310056</c:v>
                </c:pt>
                <c:pt idx="5">
                  <c:v>37657.813977973638</c:v>
                </c:pt>
                <c:pt idx="6">
                  <c:v>9808.1251895029436</c:v>
                </c:pt>
                <c:pt idx="7">
                  <c:v>258.55681768330584</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19174.289019405631</c:v>
                </c:pt>
                <c:pt idx="2">
                  <c:v>5018.6920815356052</c:v>
                </c:pt>
                <c:pt idx="3">
                  <c:v>126.15358117261471</c:v>
                </c:pt>
                <c:pt idx="4">
                  <c:v>524.5219799310056</c:v>
                </c:pt>
                <c:pt idx="5">
                  <c:v>37657.813977973638</c:v>
                </c:pt>
                <c:pt idx="6">
                  <c:v>9808.1251895029436</c:v>
                </c:pt>
                <c:pt idx="7">
                  <c:v>258.55681768330584</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34003</v>
      </c>
      <c r="B6" s="381"/>
      <c r="C6" s="382"/>
    </row>
    <row r="7" spans="1:7" s="379" customFormat="1" ht="15.75" customHeight="1">
      <c r="A7" s="383" t="str">
        <f>txtMunicipality</f>
        <v>AVELGEM</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0.19435213353394204</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0.19435213353394204</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4122</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1328</v>
      </c>
      <c r="C14" s="322"/>
      <c r="D14" s="322"/>
      <c r="E14" s="322"/>
      <c r="F14" s="322"/>
    </row>
    <row r="15" spans="1:6">
      <c r="A15" s="1261" t="s">
        <v>177</v>
      </c>
      <c r="B15" s="1262">
        <v>13</v>
      </c>
      <c r="C15" s="322"/>
      <c r="D15" s="322"/>
      <c r="E15" s="322"/>
      <c r="F15" s="322"/>
    </row>
    <row r="16" spans="1:6">
      <c r="A16" s="1261" t="s">
        <v>6</v>
      </c>
      <c r="B16" s="1262">
        <v>304</v>
      </c>
      <c r="C16" s="322"/>
      <c r="D16" s="322"/>
      <c r="E16" s="322"/>
      <c r="F16" s="322"/>
    </row>
    <row r="17" spans="1:6">
      <c r="A17" s="1261" t="s">
        <v>7</v>
      </c>
      <c r="B17" s="1262">
        <v>618</v>
      </c>
      <c r="C17" s="322"/>
      <c r="D17" s="322"/>
      <c r="E17" s="322"/>
      <c r="F17" s="322"/>
    </row>
    <row r="18" spans="1:6">
      <c r="A18" s="1261" t="s">
        <v>8</v>
      </c>
      <c r="B18" s="1262">
        <v>855</v>
      </c>
      <c r="C18" s="322"/>
      <c r="D18" s="322"/>
      <c r="E18" s="322"/>
      <c r="F18" s="322"/>
    </row>
    <row r="19" spans="1:6">
      <c r="A19" s="1261" t="s">
        <v>9</v>
      </c>
      <c r="B19" s="1262">
        <v>845</v>
      </c>
      <c r="C19" s="322"/>
      <c r="D19" s="322"/>
      <c r="E19" s="322"/>
      <c r="F19" s="322"/>
    </row>
    <row r="20" spans="1:6">
      <c r="A20" s="1261" t="s">
        <v>10</v>
      </c>
      <c r="B20" s="1262">
        <v>636</v>
      </c>
      <c r="C20" s="322"/>
      <c r="D20" s="322"/>
      <c r="E20" s="322"/>
      <c r="F20" s="322"/>
    </row>
    <row r="21" spans="1:6">
      <c r="A21" s="1261" t="s">
        <v>11</v>
      </c>
      <c r="B21" s="1262">
        <v>609</v>
      </c>
      <c r="C21" s="322"/>
      <c r="D21" s="322"/>
      <c r="E21" s="322"/>
      <c r="F21" s="322"/>
    </row>
    <row r="22" spans="1:6">
      <c r="A22" s="1261" t="s">
        <v>12</v>
      </c>
      <c r="B22" s="1262">
        <v>3323</v>
      </c>
      <c r="C22" s="322"/>
      <c r="D22" s="322"/>
      <c r="E22" s="322"/>
      <c r="F22" s="322"/>
    </row>
    <row r="23" spans="1:6">
      <c r="A23" s="1261" t="s">
        <v>13</v>
      </c>
      <c r="B23" s="1262">
        <v>21</v>
      </c>
      <c r="C23" s="322"/>
      <c r="D23" s="322"/>
      <c r="E23" s="322"/>
      <c r="F23" s="322"/>
    </row>
    <row r="24" spans="1:6">
      <c r="A24" s="1261" t="s">
        <v>14</v>
      </c>
      <c r="B24" s="1262">
        <v>3</v>
      </c>
      <c r="C24" s="322"/>
      <c r="D24" s="322"/>
      <c r="E24" s="322"/>
      <c r="F24" s="322"/>
    </row>
    <row r="25" spans="1:6">
      <c r="A25" s="1261" t="s">
        <v>15</v>
      </c>
      <c r="B25" s="1262">
        <v>167</v>
      </c>
      <c r="C25" s="322"/>
      <c r="D25" s="322"/>
      <c r="E25" s="322"/>
      <c r="F25" s="322"/>
    </row>
    <row r="26" spans="1:6">
      <c r="A26" s="1261" t="s">
        <v>16</v>
      </c>
      <c r="B26" s="1262">
        <v>110</v>
      </c>
      <c r="C26" s="322"/>
      <c r="D26" s="322"/>
      <c r="E26" s="322"/>
      <c r="F26" s="322"/>
    </row>
    <row r="27" spans="1:6">
      <c r="A27" s="1261" t="s">
        <v>17</v>
      </c>
      <c r="B27" s="1262">
        <v>15</v>
      </c>
      <c r="C27" s="322"/>
      <c r="D27" s="322"/>
      <c r="E27" s="322"/>
      <c r="F27" s="322"/>
    </row>
    <row r="28" spans="1:6">
      <c r="A28" s="1261" t="s">
        <v>18</v>
      </c>
      <c r="B28" s="1263">
        <v>5</v>
      </c>
      <c r="C28" s="322"/>
      <c r="D28" s="322"/>
      <c r="E28" s="322"/>
      <c r="F28" s="322"/>
    </row>
    <row r="29" spans="1:6">
      <c r="A29" s="1261" t="s">
        <v>901</v>
      </c>
      <c r="B29" s="1263">
        <v>29</v>
      </c>
      <c r="C29" s="322"/>
      <c r="D29" s="322"/>
      <c r="E29" s="322"/>
      <c r="F29" s="322"/>
    </row>
    <row r="30" spans="1:6">
      <c r="A30" s="1256" t="s">
        <v>902</v>
      </c>
      <c r="B30" s="1264">
        <v>2</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0</v>
      </c>
      <c r="D38" s="1262">
        <v>0</v>
      </c>
      <c r="E38" s="1262">
        <v>0</v>
      </c>
      <c r="F38" s="1262">
        <v>0</v>
      </c>
    </row>
    <row r="39" spans="1:6">
      <c r="A39" s="1261" t="s">
        <v>29</v>
      </c>
      <c r="B39" s="1261" t="s">
        <v>30</v>
      </c>
      <c r="C39" s="1262">
        <v>1780</v>
      </c>
      <c r="D39" s="1262">
        <v>23706509.2449762</v>
      </c>
      <c r="E39" s="1262">
        <v>4050</v>
      </c>
      <c r="F39" s="1262">
        <v>18816982</v>
      </c>
    </row>
    <row r="40" spans="1:6">
      <c r="A40" s="1261" t="s">
        <v>29</v>
      </c>
      <c r="B40" s="1261" t="s">
        <v>28</v>
      </c>
      <c r="C40" s="1262">
        <v>0</v>
      </c>
      <c r="D40" s="1262">
        <v>0</v>
      </c>
      <c r="E40" s="1262">
        <v>0</v>
      </c>
      <c r="F40" s="1262">
        <v>0</v>
      </c>
    </row>
    <row r="41" spans="1:6">
      <c r="A41" s="1261" t="s">
        <v>31</v>
      </c>
      <c r="B41" s="1261" t="s">
        <v>32</v>
      </c>
      <c r="C41" s="1262">
        <v>28</v>
      </c>
      <c r="D41" s="1262">
        <v>345967.36126009497</v>
      </c>
      <c r="E41" s="1262">
        <v>94</v>
      </c>
      <c r="F41" s="1262">
        <v>1246013</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0</v>
      </c>
      <c r="D44" s="1262">
        <v>0</v>
      </c>
      <c r="E44" s="1262">
        <v>3</v>
      </c>
      <c r="F44" s="1262">
        <v>15917.99</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0</v>
      </c>
      <c r="D47" s="1262">
        <v>0</v>
      </c>
      <c r="E47" s="1262">
        <v>0</v>
      </c>
      <c r="F47" s="1262">
        <v>0</v>
      </c>
    </row>
    <row r="48" spans="1:6">
      <c r="A48" s="1261" t="s">
        <v>31</v>
      </c>
      <c r="B48" s="1261" t="s">
        <v>28</v>
      </c>
      <c r="C48" s="1262">
        <v>20</v>
      </c>
      <c r="D48" s="1262">
        <v>499626.81993617001</v>
      </c>
      <c r="E48" s="1262">
        <v>48</v>
      </c>
      <c r="F48" s="1262">
        <v>74631421</v>
      </c>
    </row>
    <row r="49" spans="1:6">
      <c r="A49" s="1261" t="s">
        <v>31</v>
      </c>
      <c r="B49" s="1261" t="s">
        <v>39</v>
      </c>
      <c r="C49" s="1262">
        <v>6</v>
      </c>
      <c r="D49" s="1262">
        <v>77394736.740488604</v>
      </c>
      <c r="E49" s="1262">
        <v>0</v>
      </c>
      <c r="F49" s="1262">
        <v>0</v>
      </c>
    </row>
    <row r="50" spans="1:6">
      <c r="A50" s="1261" t="s">
        <v>31</v>
      </c>
      <c r="B50" s="1261" t="s">
        <v>40</v>
      </c>
      <c r="C50" s="1262">
        <v>0</v>
      </c>
      <c r="D50" s="1262">
        <v>0</v>
      </c>
      <c r="E50" s="1262">
        <v>8</v>
      </c>
      <c r="F50" s="1262">
        <v>3940739</v>
      </c>
    </row>
    <row r="51" spans="1:6">
      <c r="A51" s="1261" t="s">
        <v>41</v>
      </c>
      <c r="B51" s="1261" t="s">
        <v>42</v>
      </c>
      <c r="C51" s="1262">
        <v>0</v>
      </c>
      <c r="D51" s="1262">
        <v>0</v>
      </c>
      <c r="E51" s="1262">
        <v>36</v>
      </c>
      <c r="F51" s="1262">
        <v>421179.2</v>
      </c>
    </row>
    <row r="52" spans="1:6">
      <c r="A52" s="1261" t="s">
        <v>41</v>
      </c>
      <c r="B52" s="1261" t="s">
        <v>28</v>
      </c>
      <c r="C52" s="1262">
        <v>5</v>
      </c>
      <c r="D52" s="1262">
        <v>148217.298716761</v>
      </c>
      <c r="E52" s="1262">
        <v>8</v>
      </c>
      <c r="F52" s="1262">
        <v>31359.06</v>
      </c>
    </row>
    <row r="53" spans="1:6">
      <c r="A53" s="1261" t="s">
        <v>43</v>
      </c>
      <c r="B53" s="1261" t="s">
        <v>44</v>
      </c>
      <c r="C53" s="1262">
        <v>52</v>
      </c>
      <c r="D53" s="1262">
        <v>681804.30635769095</v>
      </c>
      <c r="E53" s="1262">
        <v>145</v>
      </c>
      <c r="F53" s="1262">
        <v>656305.69999999995</v>
      </c>
    </row>
    <row r="54" spans="1:6">
      <c r="A54" s="1261" t="s">
        <v>45</v>
      </c>
      <c r="B54" s="1261" t="s">
        <v>46</v>
      </c>
      <c r="C54" s="1262">
        <v>0</v>
      </c>
      <c r="D54" s="1262">
        <v>0</v>
      </c>
      <c r="E54" s="1262">
        <v>1</v>
      </c>
      <c r="F54" s="1262">
        <v>649098</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20</v>
      </c>
      <c r="D57" s="1262">
        <v>1496043.87457298</v>
      </c>
      <c r="E57" s="1262">
        <v>28</v>
      </c>
      <c r="F57" s="1262">
        <v>801478</v>
      </c>
    </row>
    <row r="58" spans="1:6">
      <c r="A58" s="1261" t="s">
        <v>48</v>
      </c>
      <c r="B58" s="1261" t="s">
        <v>50</v>
      </c>
      <c r="C58" s="1262">
        <v>5</v>
      </c>
      <c r="D58" s="1262">
        <v>364487.35407219699</v>
      </c>
      <c r="E58" s="1262">
        <v>19</v>
      </c>
      <c r="F58" s="1262">
        <v>362927.7</v>
      </c>
    </row>
    <row r="59" spans="1:6">
      <c r="A59" s="1261" t="s">
        <v>48</v>
      </c>
      <c r="B59" s="1261" t="s">
        <v>51</v>
      </c>
      <c r="C59" s="1262">
        <v>14</v>
      </c>
      <c r="D59" s="1262">
        <v>549561.24661440798</v>
      </c>
      <c r="E59" s="1262">
        <v>78</v>
      </c>
      <c r="F59" s="1262">
        <v>3372376</v>
      </c>
    </row>
    <row r="60" spans="1:6">
      <c r="A60" s="1261" t="s">
        <v>48</v>
      </c>
      <c r="B60" s="1261" t="s">
        <v>52</v>
      </c>
      <c r="C60" s="1262">
        <v>14</v>
      </c>
      <c r="D60" s="1262">
        <v>367685.976238342</v>
      </c>
      <c r="E60" s="1262">
        <v>43</v>
      </c>
      <c r="F60" s="1262">
        <v>912982</v>
      </c>
    </row>
    <row r="61" spans="1:6">
      <c r="A61" s="1261" t="s">
        <v>48</v>
      </c>
      <c r="B61" s="1261" t="s">
        <v>53</v>
      </c>
      <c r="C61" s="1262">
        <v>31</v>
      </c>
      <c r="D61" s="1262">
        <v>1407839.2229295601</v>
      </c>
      <c r="E61" s="1262">
        <v>131</v>
      </c>
      <c r="F61" s="1262">
        <v>1595790</v>
      </c>
    </row>
    <row r="62" spans="1:6">
      <c r="A62" s="1261" t="s">
        <v>48</v>
      </c>
      <c r="B62" s="1261" t="s">
        <v>54</v>
      </c>
      <c r="C62" s="1262">
        <v>0</v>
      </c>
      <c r="D62" s="1262">
        <v>0</v>
      </c>
      <c r="E62" s="1262">
        <v>0</v>
      </c>
      <c r="F62" s="1262">
        <v>0</v>
      </c>
    </row>
    <row r="63" spans="1:6">
      <c r="A63" s="1261" t="s">
        <v>48</v>
      </c>
      <c r="B63" s="1261" t="s">
        <v>28</v>
      </c>
      <c r="C63" s="1262">
        <v>100</v>
      </c>
      <c r="D63" s="1262">
        <v>4780868.6070301598</v>
      </c>
      <c r="E63" s="1262">
        <v>165</v>
      </c>
      <c r="F63" s="1262">
        <v>6100589</v>
      </c>
    </row>
    <row r="64" spans="1:6">
      <c r="A64" s="1261" t="s">
        <v>55</v>
      </c>
      <c r="B64" s="1261" t="s">
        <v>56</v>
      </c>
      <c r="C64" s="1262">
        <v>0</v>
      </c>
      <c r="D64" s="1262">
        <v>0</v>
      </c>
      <c r="E64" s="1262">
        <v>0</v>
      </c>
      <c r="F64" s="1262">
        <v>0</v>
      </c>
    </row>
    <row r="65" spans="1:6">
      <c r="A65" s="1261" t="s">
        <v>55</v>
      </c>
      <c r="B65" s="1261" t="s">
        <v>28</v>
      </c>
      <c r="C65" s="1262">
        <v>1</v>
      </c>
      <c r="D65" s="1262">
        <v>36863.8046659959</v>
      </c>
      <c r="E65" s="1262">
        <v>7</v>
      </c>
      <c r="F65" s="1262">
        <v>120008.6</v>
      </c>
    </row>
    <row r="66" spans="1:6">
      <c r="A66" s="1261" t="s">
        <v>55</v>
      </c>
      <c r="B66" s="1261" t="s">
        <v>57</v>
      </c>
      <c r="C66" s="1262">
        <v>0</v>
      </c>
      <c r="D66" s="1262">
        <v>0</v>
      </c>
      <c r="E66" s="1262">
        <v>0</v>
      </c>
      <c r="F66" s="1262">
        <v>0</v>
      </c>
    </row>
    <row r="67" spans="1:6">
      <c r="A67" s="1261" t="s">
        <v>55</v>
      </c>
      <c r="B67" s="1261" t="s">
        <v>58</v>
      </c>
      <c r="C67" s="1262">
        <v>0</v>
      </c>
      <c r="D67" s="1262">
        <v>0</v>
      </c>
      <c r="E67" s="1262">
        <v>0</v>
      </c>
      <c r="F67" s="1262">
        <v>0</v>
      </c>
    </row>
    <row r="68" spans="1:6">
      <c r="A68" s="1256" t="s">
        <v>55</v>
      </c>
      <c r="B68" s="1256" t="s">
        <v>59</v>
      </c>
      <c r="C68" s="1264">
        <v>0</v>
      </c>
      <c r="D68" s="1264">
        <v>0</v>
      </c>
      <c r="E68" s="1264">
        <v>3</v>
      </c>
      <c r="F68" s="1264">
        <v>35870.71</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41051924</v>
      </c>
      <c r="E73" s="440"/>
      <c r="F73" s="322"/>
    </row>
    <row r="74" spans="1:6">
      <c r="A74" s="1261" t="s">
        <v>63</v>
      </c>
      <c r="B74" s="1261" t="s">
        <v>670</v>
      </c>
      <c r="C74" s="1274" t="s">
        <v>672</v>
      </c>
      <c r="D74" s="1262">
        <v>3780222.3421364818</v>
      </c>
      <c r="E74" s="440"/>
      <c r="F74" s="322"/>
    </row>
    <row r="75" spans="1:6">
      <c r="A75" s="1261" t="s">
        <v>64</v>
      </c>
      <c r="B75" s="1261" t="s">
        <v>669</v>
      </c>
      <c r="C75" s="1274" t="s">
        <v>673</v>
      </c>
      <c r="D75" s="1262">
        <v>3716878</v>
      </c>
      <c r="E75" s="440"/>
      <c r="F75" s="322"/>
    </row>
    <row r="76" spans="1:6">
      <c r="A76" s="1261" t="s">
        <v>64</v>
      </c>
      <c r="B76" s="1261" t="s">
        <v>670</v>
      </c>
      <c r="C76" s="1274" t="s">
        <v>674</v>
      </c>
      <c r="D76" s="1262">
        <v>176118.34213648195</v>
      </c>
      <c r="E76" s="440"/>
      <c r="F76" s="322"/>
    </row>
    <row r="77" spans="1:6">
      <c r="A77" s="1261" t="s">
        <v>65</v>
      </c>
      <c r="B77" s="1261" t="s">
        <v>669</v>
      </c>
      <c r="C77" s="1274" t="s">
        <v>675</v>
      </c>
      <c r="D77" s="1262">
        <v>0</v>
      </c>
      <c r="E77" s="440"/>
      <c r="F77" s="322"/>
    </row>
    <row r="78" spans="1:6">
      <c r="A78" s="1256" t="s">
        <v>65</v>
      </c>
      <c r="B78" s="1256" t="s">
        <v>670</v>
      </c>
      <c r="C78" s="1256" t="s">
        <v>676</v>
      </c>
      <c r="D78" s="1264">
        <v>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275377.3157270361</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12088.39033298098</v>
      </c>
      <c r="C90" s="322"/>
      <c r="D90" s="322"/>
      <c r="E90" s="322"/>
      <c r="F90" s="322"/>
    </row>
    <row r="91" spans="1:6">
      <c r="A91" s="1261" t="s">
        <v>67</v>
      </c>
      <c r="B91" s="1262">
        <v>1656.2315412456555</v>
      </c>
      <c r="C91" s="322"/>
      <c r="D91" s="322"/>
      <c r="E91" s="322"/>
      <c r="F91" s="322"/>
    </row>
    <row r="92" spans="1:6">
      <c r="A92" s="1256" t="s">
        <v>68</v>
      </c>
      <c r="B92" s="1257">
        <v>148.76161362437341</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453</v>
      </c>
      <c r="C97" s="322"/>
      <c r="D97" s="322"/>
      <c r="E97" s="322"/>
      <c r="F97" s="322"/>
    </row>
    <row r="98" spans="1:6">
      <c r="A98" s="1261" t="s">
        <v>71</v>
      </c>
      <c r="B98" s="1262">
        <v>0</v>
      </c>
      <c r="C98" s="322"/>
      <c r="D98" s="322"/>
      <c r="E98" s="322"/>
      <c r="F98" s="322"/>
    </row>
    <row r="99" spans="1:6">
      <c r="A99" s="1261" t="s">
        <v>72</v>
      </c>
      <c r="B99" s="1262">
        <v>45</v>
      </c>
      <c r="C99" s="322"/>
      <c r="D99" s="322"/>
      <c r="E99" s="322"/>
      <c r="F99" s="322"/>
    </row>
    <row r="100" spans="1:6">
      <c r="A100" s="1261" t="s">
        <v>73</v>
      </c>
      <c r="B100" s="1262">
        <v>570</v>
      </c>
      <c r="C100" s="322"/>
      <c r="D100" s="322"/>
      <c r="E100" s="322"/>
      <c r="F100" s="322"/>
    </row>
    <row r="101" spans="1:6">
      <c r="A101" s="1261" t="s">
        <v>74</v>
      </c>
      <c r="B101" s="1262">
        <v>51</v>
      </c>
      <c r="C101" s="322"/>
      <c r="D101" s="322"/>
      <c r="E101" s="322"/>
      <c r="F101" s="322"/>
    </row>
    <row r="102" spans="1:6">
      <c r="A102" s="1261" t="s">
        <v>75</v>
      </c>
      <c r="B102" s="1262">
        <v>69</v>
      </c>
      <c r="C102" s="322"/>
      <c r="D102" s="322"/>
      <c r="E102" s="322"/>
      <c r="F102" s="322"/>
    </row>
    <row r="103" spans="1:6">
      <c r="A103" s="1261" t="s">
        <v>76</v>
      </c>
      <c r="B103" s="1262">
        <v>142</v>
      </c>
      <c r="C103" s="322"/>
      <c r="D103" s="322"/>
      <c r="E103" s="322"/>
      <c r="F103" s="322"/>
    </row>
    <row r="104" spans="1:6">
      <c r="A104" s="1261" t="s">
        <v>77</v>
      </c>
      <c r="B104" s="1262">
        <v>2239</v>
      </c>
      <c r="C104" s="322"/>
      <c r="D104" s="322"/>
      <c r="E104" s="322"/>
      <c r="F104" s="322"/>
    </row>
    <row r="105" spans="1:6">
      <c r="A105" s="1256" t="s">
        <v>78</v>
      </c>
      <c r="B105" s="1264">
        <v>9</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3</v>
      </c>
      <c r="C123" s="1262">
        <v>17</v>
      </c>
      <c r="D123" s="322"/>
      <c r="E123" s="322"/>
      <c r="F123" s="322"/>
    </row>
    <row r="124" spans="1:6">
      <c r="A124" s="1261" t="s">
        <v>88</v>
      </c>
      <c r="B124" s="1262">
        <v>0</v>
      </c>
      <c r="C124" s="1262">
        <v>2</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112</v>
      </c>
      <c r="C129" s="322"/>
      <c r="D129" s="322"/>
      <c r="E129" s="322"/>
      <c r="F129" s="322"/>
    </row>
    <row r="130" spans="1:6">
      <c r="A130" s="1261" t="s">
        <v>284</v>
      </c>
      <c r="B130" s="1262">
        <v>3</v>
      </c>
      <c r="C130" s="322"/>
      <c r="D130" s="322"/>
      <c r="E130" s="322"/>
      <c r="F130" s="322"/>
    </row>
    <row r="131" spans="1:6">
      <c r="A131" s="1261" t="s">
        <v>285</v>
      </c>
      <c r="B131" s="1262">
        <v>0</v>
      </c>
      <c r="C131" s="322"/>
      <c r="D131" s="322"/>
      <c r="E131" s="322"/>
      <c r="F131" s="322"/>
    </row>
    <row r="132" spans="1:6">
      <c r="A132" s="1256" t="s">
        <v>286</v>
      </c>
      <c r="B132" s="1257">
        <v>3</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115222.64848955037</v>
      </c>
      <c r="C3" s="43" t="s">
        <v>163</v>
      </c>
      <c r="D3" s="43"/>
      <c r="E3" s="153"/>
      <c r="F3" s="43"/>
      <c r="G3" s="43"/>
      <c r="H3" s="43"/>
      <c r="I3" s="43"/>
      <c r="J3" s="43"/>
      <c r="K3" s="96"/>
    </row>
    <row r="4" spans="1:11">
      <c r="A4" s="349" t="s">
        <v>164</v>
      </c>
      <c r="B4" s="49">
        <f>IF(ISERROR('SEAP template'!B78+'SEAP template'!C78),0,'SEAP template'!B78+'SEAP template'!C78)</f>
        <v>13893.38348785101</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0.19435213353394204</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0</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649.09799999999996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649.09799999999996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0.19435213353394204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126.15358117261471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18816.982</v>
      </c>
      <c r="C5" s="17">
        <f>IF(ISERROR('Eigen informatie GS &amp; warmtenet'!B57),0,'Eigen informatie GS &amp; warmtenet'!B57)</f>
        <v>0</v>
      </c>
      <c r="D5" s="30">
        <f>(SUM(HH_hh_gas_kWh,HH_rest_gas_kWh)/1000)*0.902</f>
        <v>21383.271338968534</v>
      </c>
      <c r="E5" s="17">
        <f>B32*B41</f>
        <v>1220.5737845255892</v>
      </c>
      <c r="F5" s="17">
        <f>B36*B45</f>
        <v>38505.29494923813</v>
      </c>
      <c r="G5" s="18"/>
      <c r="H5" s="17"/>
      <c r="I5" s="17"/>
      <c r="J5" s="17">
        <f>B35*B44+C35*C44</f>
        <v>897.94202362432497</v>
      </c>
      <c r="K5" s="17"/>
      <c r="L5" s="17"/>
      <c r="M5" s="17"/>
      <c r="N5" s="17">
        <f>B34*B43+C34*C43</f>
        <v>5032.0007306826819</v>
      </c>
      <c r="O5" s="17">
        <f>B52*B53*B54</f>
        <v>204.79666666666668</v>
      </c>
      <c r="P5" s="17">
        <f>B60*B61*B62/1000-B60*B61*B62/1000/B63</f>
        <v>114.4</v>
      </c>
    </row>
    <row r="6" spans="1:16">
      <c r="A6" s="16" t="s">
        <v>593</v>
      </c>
      <c r="B6" s="717">
        <f>kWh_PV_kleiner_dan_10kW</f>
        <v>1656.2315412456555</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20473.213541245656</v>
      </c>
      <c r="C8" s="21">
        <f>C5</f>
        <v>0</v>
      </c>
      <c r="D8" s="21">
        <f>D5</f>
        <v>21383.271338968534</v>
      </c>
      <c r="E8" s="21">
        <f>E5</f>
        <v>1220.5737845255892</v>
      </c>
      <c r="F8" s="21">
        <f>F5</f>
        <v>38505.29494923813</v>
      </c>
      <c r="G8" s="21"/>
      <c r="H8" s="21"/>
      <c r="I8" s="21"/>
      <c r="J8" s="21">
        <f>J5</f>
        <v>897.94202362432497</v>
      </c>
      <c r="K8" s="21"/>
      <c r="L8" s="21">
        <f>L5</f>
        <v>0</v>
      </c>
      <c r="M8" s="21">
        <f>M5</f>
        <v>0</v>
      </c>
      <c r="N8" s="21">
        <f>N5</f>
        <v>5032.0007306826819</v>
      </c>
      <c r="O8" s="21">
        <f>O5</f>
        <v>204.79666666666668</v>
      </c>
      <c r="P8" s="21">
        <f>P5</f>
        <v>114.4</v>
      </c>
    </row>
    <row r="9" spans="1:16">
      <c r="B9" s="19"/>
      <c r="C9" s="19"/>
      <c r="D9" s="253"/>
      <c r="E9" s="19"/>
      <c r="F9" s="19"/>
      <c r="G9" s="19"/>
      <c r="H9" s="19"/>
      <c r="I9" s="19"/>
      <c r="J9" s="19"/>
      <c r="K9" s="19"/>
      <c r="L9" s="19"/>
      <c r="M9" s="19"/>
      <c r="N9" s="19"/>
      <c r="O9" s="19"/>
      <c r="P9" s="19"/>
    </row>
    <row r="10" spans="1:16">
      <c r="A10" s="24" t="s">
        <v>207</v>
      </c>
      <c r="B10" s="25">
        <f ca="1">'EF ele_warmte'!B12</f>
        <v>0.19435213353394204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3979.0127320370862</v>
      </c>
      <c r="C12" s="23">
        <f ca="1">C10*C8</f>
        <v>0</v>
      </c>
      <c r="D12" s="23">
        <f>D8*D10</f>
        <v>4319.4208104716445</v>
      </c>
      <c r="E12" s="23">
        <f>E10*E8</f>
        <v>277.07024908730875</v>
      </c>
      <c r="F12" s="23">
        <f>F10*F8</f>
        <v>10280.913751446582</v>
      </c>
      <c r="G12" s="23"/>
      <c r="H12" s="23"/>
      <c r="I12" s="23"/>
      <c r="J12" s="23">
        <f>J10*J8</f>
        <v>317.87147636301103</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4122</v>
      </c>
      <c r="C26" s="36"/>
      <c r="D26" s="224"/>
    </row>
    <row r="27" spans="1:5" s="15" customFormat="1">
      <c r="A27" s="226" t="s">
        <v>696</v>
      </c>
      <c r="B27" s="37">
        <f>SUM(HH_hh_gas_aantal,HH_rest_gas_aantal)</f>
        <v>1780</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1691</v>
      </c>
      <c r="C31" s="34" t="s">
        <v>104</v>
      </c>
      <c r="D31" s="170"/>
    </row>
    <row r="32" spans="1:5">
      <c r="A32" s="167" t="s">
        <v>72</v>
      </c>
      <c r="B32" s="33">
        <f>IF((B21*($B$26-($B$27-0.05*$B$27)-$B$60))&lt;0,0,B21*($B$26-($B$27-0.05*$B$27)-$B$60))</f>
        <v>15.290159590291404</v>
      </c>
      <c r="C32" s="34" t="s">
        <v>104</v>
      </c>
      <c r="D32" s="170"/>
    </row>
    <row r="33" spans="1:6">
      <c r="A33" s="167" t="s">
        <v>73</v>
      </c>
      <c r="B33" s="33">
        <f>IF((B22*($B$26-($B$27-0.05*$B$27)-$B$60))&lt;0,0,B22*($B$26-($B$27-0.05*$B$27)-$B$60))</f>
        <v>532.45890171840915</v>
      </c>
      <c r="C33" s="34" t="s">
        <v>104</v>
      </c>
      <c r="D33" s="170"/>
    </row>
    <row r="34" spans="1:6">
      <c r="A34" s="167" t="s">
        <v>74</v>
      </c>
      <c r="B34" s="33">
        <f>IF((B24*($B$26-($B$27-0.05*$B$27)-$B$60))&lt;0,0,B24*($B$26-($B$27-0.05*$B$27)-$B$60))</f>
        <v>105.69073643249423</v>
      </c>
      <c r="C34" s="33">
        <f>B26*C24</f>
        <v>843.35989095378477</v>
      </c>
      <c r="D34" s="229"/>
    </row>
    <row r="35" spans="1:6">
      <c r="A35" s="167" t="s">
        <v>76</v>
      </c>
      <c r="B35" s="33">
        <f>IF((B19*($B$26-($B$27-0.05*$B$27)-$B$60))&lt;0,0,B19*($B$26-($B$27-0.05*$B$27)-$B$60))</f>
        <v>51.635935334900296</v>
      </c>
      <c r="C35" s="33">
        <f>B35/2</f>
        <v>25.817967667450148</v>
      </c>
      <c r="D35" s="229"/>
    </row>
    <row r="36" spans="1:6">
      <c r="A36" s="167" t="s">
        <v>77</v>
      </c>
      <c r="B36" s="33">
        <f>IF((B18*($B$26-($B$27-0.05*$B$27)-$B$60))&lt;0,0,B18*($B$26-($B$27-0.05*$B$27)-$B$60))</f>
        <v>1719.9242669239056</v>
      </c>
      <c r="C36" s="34" t="s">
        <v>104</v>
      </c>
      <c r="D36" s="170"/>
    </row>
    <row r="37" spans="1:6">
      <c r="A37" s="167" t="s">
        <v>78</v>
      </c>
      <c r="B37" s="33">
        <f>B60</f>
        <v>6</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131</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6</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13146.1427</v>
      </c>
      <c r="C5" s="17">
        <f>IF(ISERROR('Eigen informatie GS &amp; warmtenet'!B58),0,'Eigen informatie GS &amp; warmtenet'!B58)</f>
        <v>0</v>
      </c>
      <c r="D5" s="30">
        <f>SUM(D6:D12)</f>
        <v>8087.7706258747976</v>
      </c>
      <c r="E5" s="17">
        <f>SUM(E6:E12)</f>
        <v>219.54206284795976</v>
      </c>
      <c r="F5" s="17">
        <f>SUM(F6:F12)</f>
        <v>2921.893203579596</v>
      </c>
      <c r="G5" s="18"/>
      <c r="H5" s="17"/>
      <c r="I5" s="17"/>
      <c r="J5" s="17">
        <f>SUM(J6:J12)</f>
        <v>0</v>
      </c>
      <c r="K5" s="17"/>
      <c r="L5" s="17"/>
      <c r="M5" s="17"/>
      <c r="N5" s="17">
        <f>SUM(N6:N12)</f>
        <v>868.33027392226984</v>
      </c>
      <c r="O5" s="17">
        <f>B38*B39*B40</f>
        <v>4.6900000000000004</v>
      </c>
      <c r="P5" s="17">
        <f>B46*B47*B48/1000-B46*B47*B48/1000/B49</f>
        <v>0</v>
      </c>
      <c r="R5" s="32"/>
    </row>
    <row r="6" spans="1:18">
      <c r="A6" s="32" t="s">
        <v>53</v>
      </c>
      <c r="B6" s="37">
        <f>B26</f>
        <v>1595.79</v>
      </c>
      <c r="C6" s="33"/>
      <c r="D6" s="37">
        <f>IF(ISERROR(TER_kantoor_gas_kWh/1000),0,TER_kantoor_gas_kWh/1000)*0.902</f>
        <v>1269.8709790824632</v>
      </c>
      <c r="E6" s="33">
        <f>$C$26*'E Balans VL '!I12/100/3.6*1000000</f>
        <v>2.2379343401994573E-2</v>
      </c>
      <c r="F6" s="33">
        <f>$C$26*('E Balans VL '!L12+'E Balans VL '!N12)/100/3.6*1000000</f>
        <v>221.81219146662411</v>
      </c>
      <c r="G6" s="34"/>
      <c r="H6" s="33"/>
      <c r="I6" s="33"/>
      <c r="J6" s="33">
        <f>$C$26*('E Balans VL '!D12+'E Balans VL '!E12)/100/3.6*1000000</f>
        <v>0</v>
      </c>
      <c r="K6" s="33"/>
      <c r="L6" s="33"/>
      <c r="M6" s="33"/>
      <c r="N6" s="33">
        <f>$C$26*'E Balans VL '!Y12/100/3.6*1000000</f>
        <v>19.750746195600033</v>
      </c>
      <c r="O6" s="33"/>
      <c r="P6" s="33"/>
      <c r="R6" s="32"/>
    </row>
    <row r="7" spans="1:18">
      <c r="A7" s="32" t="s">
        <v>52</v>
      </c>
      <c r="B7" s="37">
        <f t="shared" ref="B7:B12" si="0">B27</f>
        <v>912.98199999999997</v>
      </c>
      <c r="C7" s="33"/>
      <c r="D7" s="37">
        <f>IF(ISERROR(TER_horeca_gas_kWh/1000),0,TER_horeca_gas_kWh/1000)*0.902</f>
        <v>331.65275056698448</v>
      </c>
      <c r="E7" s="33">
        <f>$C$27*'E Balans VL '!I9/100/3.6*1000000</f>
        <v>13.032124173803135</v>
      </c>
      <c r="F7" s="33">
        <f>$C$27*('E Balans VL '!L9+'E Balans VL '!N9)/100/3.6*1000000</f>
        <v>141.93198986365422</v>
      </c>
      <c r="G7" s="34"/>
      <c r="H7" s="33"/>
      <c r="I7" s="33"/>
      <c r="J7" s="33">
        <f>$C$27*('E Balans VL '!D9+'E Balans VL '!E9)/100/3.6*1000000</f>
        <v>0</v>
      </c>
      <c r="K7" s="33"/>
      <c r="L7" s="33"/>
      <c r="M7" s="33"/>
      <c r="N7" s="33">
        <f>$C$27*'E Balans VL '!Y9/100/3.6*1000000</f>
        <v>0.23526109639094908</v>
      </c>
      <c r="O7" s="33"/>
      <c r="P7" s="33"/>
      <c r="R7" s="32"/>
    </row>
    <row r="8" spans="1:18">
      <c r="A8" s="6" t="s">
        <v>51</v>
      </c>
      <c r="B8" s="37">
        <f t="shared" si="0"/>
        <v>3372.3760000000002</v>
      </c>
      <c r="C8" s="33"/>
      <c r="D8" s="37">
        <f>IF(ISERROR(TER_handel_gas_kWh/1000),0,TER_handel_gas_kWh/1000)*0.902</f>
        <v>495.70424444619601</v>
      </c>
      <c r="E8" s="33">
        <f>$C$28*'E Balans VL '!I13/100/3.6*1000000</f>
        <v>91.274139127104505</v>
      </c>
      <c r="F8" s="33">
        <f>$C$28*('E Balans VL '!L13+'E Balans VL '!N13)/100/3.6*1000000</f>
        <v>523.66715198201018</v>
      </c>
      <c r="G8" s="34"/>
      <c r="H8" s="33"/>
      <c r="I8" s="33"/>
      <c r="J8" s="33">
        <f>$C$28*('E Balans VL '!D13+'E Balans VL '!E13)/100/3.6*1000000</f>
        <v>0</v>
      </c>
      <c r="K8" s="33"/>
      <c r="L8" s="33"/>
      <c r="M8" s="33"/>
      <c r="N8" s="33">
        <f>$C$28*'E Balans VL '!Y13/100/3.6*1000000</f>
        <v>27.325281653208798</v>
      </c>
      <c r="O8" s="33"/>
      <c r="P8" s="33"/>
      <c r="R8" s="32"/>
    </row>
    <row r="9" spans="1:18">
      <c r="A9" s="32" t="s">
        <v>50</v>
      </c>
      <c r="B9" s="37">
        <f t="shared" si="0"/>
        <v>362.92770000000002</v>
      </c>
      <c r="C9" s="33"/>
      <c r="D9" s="37">
        <f>IF(ISERROR(TER_gezond_gas_kWh/1000),0,TER_gezond_gas_kWh/1000)*0.902</f>
        <v>328.76759337312166</v>
      </c>
      <c r="E9" s="33">
        <f>$C$29*'E Balans VL '!I10/100/3.6*1000000</f>
        <v>2.2646499821048834E-2</v>
      </c>
      <c r="F9" s="33">
        <f>$C$29*('E Balans VL '!L10+'E Balans VL '!N10)/100/3.6*1000000</f>
        <v>46.984446327120629</v>
      </c>
      <c r="G9" s="34"/>
      <c r="H9" s="33"/>
      <c r="I9" s="33"/>
      <c r="J9" s="33">
        <f>$C$29*('E Balans VL '!D10+'E Balans VL '!E10)/100/3.6*1000000</f>
        <v>0</v>
      </c>
      <c r="K9" s="33"/>
      <c r="L9" s="33"/>
      <c r="M9" s="33"/>
      <c r="N9" s="33">
        <f>$C$29*'E Balans VL '!Y10/100/3.6*1000000</f>
        <v>2.9756524886011189</v>
      </c>
      <c r="O9" s="33"/>
      <c r="P9" s="33"/>
      <c r="R9" s="32"/>
    </row>
    <row r="10" spans="1:18">
      <c r="A10" s="32" t="s">
        <v>49</v>
      </c>
      <c r="B10" s="37">
        <f t="shared" si="0"/>
        <v>801.47799999999995</v>
      </c>
      <c r="C10" s="33"/>
      <c r="D10" s="37">
        <f>IF(ISERROR(TER_ander_gas_kWh/1000),0,TER_ander_gas_kWh/1000)*0.902</f>
        <v>1349.431574864828</v>
      </c>
      <c r="E10" s="33">
        <f>$C$30*'E Balans VL '!I14/100/3.6*1000000</f>
        <v>24.196246642886141</v>
      </c>
      <c r="F10" s="33">
        <f>$C$30*('E Balans VL '!L14+'E Balans VL '!N14)/100/3.6*1000000</f>
        <v>507.45408946738246</v>
      </c>
      <c r="G10" s="34"/>
      <c r="H10" s="33"/>
      <c r="I10" s="33"/>
      <c r="J10" s="33">
        <f>$C$30*('E Balans VL '!D14+'E Balans VL '!E14)/100/3.6*1000000</f>
        <v>0</v>
      </c>
      <c r="K10" s="33"/>
      <c r="L10" s="33"/>
      <c r="M10" s="33"/>
      <c r="N10" s="33">
        <f>$C$30*'E Balans VL '!Y14/100/3.6*1000000</f>
        <v>324.40842737169055</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6100.5889999999999</v>
      </c>
      <c r="C12" s="33"/>
      <c r="D12" s="37">
        <f>IF(ISERROR(TER_rest_gas_kWh/1000),0,TER_rest_gas_kWh/1000)*0.902</f>
        <v>4312.3434835412045</v>
      </c>
      <c r="E12" s="33">
        <f>$C$32*'E Balans VL '!I8/100/3.6*1000000</f>
        <v>90.9945270609429</v>
      </c>
      <c r="F12" s="33">
        <f>$C$32*('E Balans VL '!L8+'E Balans VL '!N8)/100/3.6*1000000</f>
        <v>1480.0433344728044</v>
      </c>
      <c r="G12" s="34"/>
      <c r="H12" s="33"/>
      <c r="I12" s="33"/>
      <c r="J12" s="33">
        <f>$C$32*('E Balans VL '!D8+'E Balans VL '!E8)/100/3.6*1000000</f>
        <v>0</v>
      </c>
      <c r="K12" s="33"/>
      <c r="L12" s="33"/>
      <c r="M12" s="33"/>
      <c r="N12" s="33">
        <f>$C$32*'E Balans VL '!Y8/100/3.6*1000000</f>
        <v>493.63490511677838</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13146.1427</v>
      </c>
      <c r="C16" s="21">
        <f t="shared" ca="1" si="1"/>
        <v>0</v>
      </c>
      <c r="D16" s="21">
        <f t="shared" ca="1" si="1"/>
        <v>8087.7706258747976</v>
      </c>
      <c r="E16" s="21">
        <f t="shared" si="1"/>
        <v>219.54206284795976</v>
      </c>
      <c r="F16" s="21">
        <f t="shared" ca="1" si="1"/>
        <v>2921.893203579596</v>
      </c>
      <c r="G16" s="21">
        <f t="shared" si="1"/>
        <v>0</v>
      </c>
      <c r="H16" s="21">
        <f t="shared" si="1"/>
        <v>0</v>
      </c>
      <c r="I16" s="21">
        <f t="shared" si="1"/>
        <v>0</v>
      </c>
      <c r="J16" s="21">
        <f t="shared" si="1"/>
        <v>0</v>
      </c>
      <c r="K16" s="21">
        <f t="shared" si="1"/>
        <v>0</v>
      </c>
      <c r="L16" s="21">
        <f t="shared" ca="1" si="1"/>
        <v>0</v>
      </c>
      <c r="M16" s="21">
        <f t="shared" si="1"/>
        <v>0</v>
      </c>
      <c r="N16" s="21">
        <f t="shared" ca="1" si="1"/>
        <v>868.33027392226984</v>
      </c>
      <c r="O16" s="21">
        <f>O5</f>
        <v>4.6900000000000004</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0.19435213353394204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2554.9808814866574</v>
      </c>
      <c r="C20" s="23">
        <f t="shared" ref="C20:P20" ca="1" si="2">C16*C18</f>
        <v>0</v>
      </c>
      <c r="D20" s="23">
        <f t="shared" ca="1" si="2"/>
        <v>1633.7296664267092</v>
      </c>
      <c r="E20" s="23">
        <f t="shared" si="2"/>
        <v>49.836048266486863</v>
      </c>
      <c r="F20" s="23">
        <f t="shared" ca="1" si="2"/>
        <v>780.14548535575216</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1595.79</v>
      </c>
      <c r="C26" s="39">
        <f>IF(ISERROR(B26*3.6/1000000/'E Balans VL '!Z12*100),0,B26*3.6/1000000/'E Balans VL '!Z12*100)</f>
        <v>4.3344646563144351E-2</v>
      </c>
      <c r="D26" s="232" t="s">
        <v>651</v>
      </c>
      <c r="F26" s="6"/>
    </row>
    <row r="27" spans="1:18">
      <c r="A27" s="227" t="s">
        <v>52</v>
      </c>
      <c r="B27" s="33">
        <f>IF(ISERROR(TER_horeca_ele_kWh/1000),0,TER_horeca_ele_kWh/1000)</f>
        <v>912.98199999999997</v>
      </c>
      <c r="C27" s="39">
        <f>IF(ISERROR(B27*3.6/1000000/'E Balans VL '!Z9*100),0,B27*3.6/1000000/'E Balans VL '!Z9*100)</f>
        <v>7.3365214619314362E-2</v>
      </c>
      <c r="D27" s="232" t="s">
        <v>651</v>
      </c>
      <c r="F27" s="6"/>
    </row>
    <row r="28" spans="1:18">
      <c r="A28" s="167" t="s">
        <v>51</v>
      </c>
      <c r="B28" s="33">
        <f>IF(ISERROR(TER_handel_ele_kWh/1000),0,TER_handel_ele_kWh/1000)</f>
        <v>3372.3760000000002</v>
      </c>
      <c r="C28" s="39">
        <f>IF(ISERROR(B28*3.6/1000000/'E Balans VL '!Z13*100),0,B28*3.6/1000000/'E Balans VL '!Z13*100)</f>
        <v>9.9603556465994766E-2</v>
      </c>
      <c r="D28" s="232" t="s">
        <v>651</v>
      </c>
      <c r="F28" s="6"/>
    </row>
    <row r="29" spans="1:18">
      <c r="A29" s="227" t="s">
        <v>50</v>
      </c>
      <c r="B29" s="33">
        <f>IF(ISERROR(TER_gezond_ele_kWh/1000),0,TER_gezond_ele_kWh/1000)</f>
        <v>362.92770000000002</v>
      </c>
      <c r="C29" s="39">
        <f>IF(ISERROR(B29*3.6/1000000/'E Balans VL '!Z10*100),0,B29*3.6/1000000/'E Balans VL '!Z10*100)</f>
        <v>4.1506586696933877E-2</v>
      </c>
      <c r="D29" s="232" t="s">
        <v>651</v>
      </c>
      <c r="F29" s="6"/>
    </row>
    <row r="30" spans="1:18">
      <c r="A30" s="227" t="s">
        <v>49</v>
      </c>
      <c r="B30" s="33">
        <f>IF(ISERROR(TER_ander_ele_kWh/1000),0,TER_ander_ele_kWh/1000)</f>
        <v>801.47799999999995</v>
      </c>
      <c r="C30" s="39">
        <f>IF(ISERROR(B30*3.6/1000000/'E Balans VL '!Z14*100),0,B30*3.6/1000000/'E Balans VL '!Z14*100)</f>
        <v>3.745473690925101E-2</v>
      </c>
      <c r="D30" s="232" t="s">
        <v>651</v>
      </c>
      <c r="F30" s="6"/>
    </row>
    <row r="31" spans="1:18">
      <c r="A31" s="227" t="s">
        <v>54</v>
      </c>
      <c r="B31" s="33">
        <f>IF(ISERROR(TER_onderwijs_ele_kWh/1000),0,TER_onderwijs_ele_kWh/1000)</f>
        <v>0</v>
      </c>
      <c r="C31" s="39">
        <f>IF(ISERROR(B31*3.6/1000000/'E Balans VL '!Z11*100),0,B31*3.6/1000000/'E Balans VL '!Z11*100)</f>
        <v>0</v>
      </c>
      <c r="D31" s="232" t="s">
        <v>651</v>
      </c>
    </row>
    <row r="32" spans="1:18">
      <c r="A32" s="227" t="s">
        <v>249</v>
      </c>
      <c r="B32" s="33">
        <f>IF(ISERROR(TER_rest_ele_kWh/1000),0,TER_rest_ele_kWh/1000)</f>
        <v>6100.5889999999999</v>
      </c>
      <c r="C32" s="39">
        <f>IF(ISERROR(B32*3.6/1000000/'E Balans VL '!Z8*100),0,B32*3.6/1000000/'E Balans VL '!Z8*100)</f>
        <v>5.2120416107886688E-2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3</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0</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79834.090989999997</v>
      </c>
      <c r="C5" s="17">
        <f>IF(ISERROR('Eigen informatie GS &amp; warmtenet'!B59),0,'Eigen informatie GS &amp; warmtenet'!B59)</f>
        <v>0</v>
      </c>
      <c r="D5" s="30">
        <f>SUM(D6:D15)</f>
        <v>70572.778491359757</v>
      </c>
      <c r="E5" s="17">
        <f>SUM(E6:E15)</f>
        <v>4179.907020428881</v>
      </c>
      <c r="F5" s="17">
        <f>SUM(F6:F15)</f>
        <v>25442.403961667958</v>
      </c>
      <c r="G5" s="18"/>
      <c r="H5" s="17"/>
      <c r="I5" s="17"/>
      <c r="J5" s="17">
        <f>SUM(J6:J15)</f>
        <v>407.41824482176719</v>
      </c>
      <c r="K5" s="17"/>
      <c r="L5" s="17"/>
      <c r="M5" s="17"/>
      <c r="N5" s="17">
        <f>SUM(N6:N15)</f>
        <v>6243.6985526062745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15.91799</v>
      </c>
      <c r="C8" s="33"/>
      <c r="D8" s="37">
        <f>IF( ISERROR(IND_metaal_Gas_kWH/1000),0,IND_metaal_Gas_kWH/1000)*0.902</f>
        <v>0</v>
      </c>
      <c r="E8" s="33">
        <f>C30*'E Balans VL '!I18/100/3.6*1000000</f>
        <v>0.39837157792854683</v>
      </c>
      <c r="F8" s="33">
        <f>C30*'E Balans VL '!L18/100/3.6*1000000+C30*'E Balans VL '!N18/100/3.6*1000000</f>
        <v>4.9887772461543332</v>
      </c>
      <c r="G8" s="34"/>
      <c r="H8" s="33"/>
      <c r="I8" s="33"/>
      <c r="J8" s="40">
        <f>C30*'E Balans VL '!D18/100/3.6*1000000+C30*'E Balans VL '!E18/100/3.6*1000000</f>
        <v>0</v>
      </c>
      <c r="K8" s="33"/>
      <c r="L8" s="33"/>
      <c r="M8" s="33"/>
      <c r="N8" s="33">
        <f>C30*'E Balans VL '!Y18/100/3.6*1000000</f>
        <v>0.39990121958637831</v>
      </c>
      <c r="O8" s="33"/>
      <c r="P8" s="33"/>
      <c r="R8" s="32"/>
    </row>
    <row r="9" spans="1:18">
      <c r="A9" s="6" t="s">
        <v>32</v>
      </c>
      <c r="B9" s="37">
        <f t="shared" si="0"/>
        <v>1246.0129999999999</v>
      </c>
      <c r="C9" s="33"/>
      <c r="D9" s="37">
        <f>IF( ISERROR(IND_andere_gas_kWh/1000),0,IND_andere_gas_kWh/1000)*0.902</f>
        <v>312.06255985660567</v>
      </c>
      <c r="E9" s="33">
        <f>C31*'E Balans VL '!I19/100/3.6*1000000</f>
        <v>342.60246970753388</v>
      </c>
      <c r="F9" s="33">
        <f>C31*'E Balans VL '!L19/100/3.6*1000000+C31*'E Balans VL '!N19/100/3.6*1000000</f>
        <v>982.07506582936492</v>
      </c>
      <c r="G9" s="34"/>
      <c r="H9" s="33"/>
      <c r="I9" s="33"/>
      <c r="J9" s="40">
        <f>C31*'E Balans VL '!D19/100/3.6*1000000+C31*'E Balans VL '!E19/100/3.6*1000000</f>
        <v>0</v>
      </c>
      <c r="K9" s="33"/>
      <c r="L9" s="33"/>
      <c r="M9" s="33"/>
      <c r="N9" s="33">
        <f>C31*'E Balans VL '!Y19/100/3.6*1000000</f>
        <v>100.37959246191147</v>
      </c>
      <c r="O9" s="33"/>
      <c r="P9" s="33"/>
      <c r="R9" s="32"/>
    </row>
    <row r="10" spans="1:18">
      <c r="A10" s="6" t="s">
        <v>40</v>
      </c>
      <c r="B10" s="37">
        <f t="shared" si="0"/>
        <v>3940.739</v>
      </c>
      <c r="C10" s="33"/>
      <c r="D10" s="37">
        <f>IF( ISERROR(IND_voed_gas_kWh/1000),0,IND_voed_gas_kWh/1000)*0.902</f>
        <v>0</v>
      </c>
      <c r="E10" s="33">
        <f>C32*'E Balans VL '!I20/100/3.6*1000000</f>
        <v>40.173663139497322</v>
      </c>
      <c r="F10" s="33">
        <f>C32*'E Balans VL '!L20/100/3.6*1000000+C32*'E Balans VL '!N20/100/3.6*1000000</f>
        <v>7444.0313240567493</v>
      </c>
      <c r="G10" s="34"/>
      <c r="H10" s="33"/>
      <c r="I10" s="33"/>
      <c r="J10" s="40">
        <f>C32*'E Balans VL '!D20/100/3.6*1000000+C32*'E Balans VL '!E20/100/3.6*1000000</f>
        <v>94.314778426384962</v>
      </c>
      <c r="K10" s="33"/>
      <c r="L10" s="33"/>
      <c r="M10" s="33"/>
      <c r="N10" s="33">
        <f>C32*'E Balans VL '!Y20/100/3.6*1000000</f>
        <v>2077.2233704718205</v>
      </c>
      <c r="O10" s="33"/>
      <c r="P10" s="33"/>
      <c r="R10" s="32"/>
    </row>
    <row r="11" spans="1:18">
      <c r="A11" s="6" t="s">
        <v>39</v>
      </c>
      <c r="B11" s="37">
        <f t="shared" si="0"/>
        <v>0</v>
      </c>
      <c r="C11" s="33"/>
      <c r="D11" s="37">
        <f>IF( ISERROR(IND_textiel_gas_kWh/1000),0,IND_textiel_gas_kWh/1000)*0.902</f>
        <v>69810.052539920725</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74631.421000000002</v>
      </c>
      <c r="C15" s="33"/>
      <c r="D15" s="37">
        <f>IF( ISERROR(IND_rest_gas_kWh/1000),0,IND_rest_gas_kWh/1000)*0.902</f>
        <v>450.66339158242539</v>
      </c>
      <c r="E15" s="33">
        <f>C37*'E Balans VL '!I15/100/3.6*1000000</f>
        <v>3796.7325160039209</v>
      </c>
      <c r="F15" s="33">
        <f>C37*'E Balans VL '!L15/100/3.6*1000000+C37*'E Balans VL '!N15/100/3.6*1000000</f>
        <v>17011.308794535689</v>
      </c>
      <c r="G15" s="34"/>
      <c r="H15" s="33"/>
      <c r="I15" s="33"/>
      <c r="J15" s="40">
        <f>C37*'E Balans VL '!D15/100/3.6*1000000+C37*'E Balans VL '!E15/100/3.6*1000000</f>
        <v>313.10346639538221</v>
      </c>
      <c r="K15" s="33"/>
      <c r="L15" s="33"/>
      <c r="M15" s="33"/>
      <c r="N15" s="33">
        <f>C37*'E Balans VL '!Y15/100/3.6*1000000</f>
        <v>4065.6956884529554</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79834.090989999997</v>
      </c>
      <c r="C18" s="21">
        <f>C5+C16</f>
        <v>0</v>
      </c>
      <c r="D18" s="21">
        <f>MAX((D5+D16),0)</f>
        <v>70572.778491359757</v>
      </c>
      <c r="E18" s="21">
        <f>MAX((E5+E16),0)</f>
        <v>4179.907020428881</v>
      </c>
      <c r="F18" s="21">
        <f>MAX((F5+F16),0)</f>
        <v>25442.403961667958</v>
      </c>
      <c r="G18" s="21"/>
      <c r="H18" s="21"/>
      <c r="I18" s="21"/>
      <c r="J18" s="21">
        <f>MAX((J5+J16),0)</f>
        <v>407.41824482176719</v>
      </c>
      <c r="K18" s="21"/>
      <c r="L18" s="21">
        <f>MAX((L5+L16),0)</f>
        <v>0</v>
      </c>
      <c r="M18" s="21"/>
      <c r="N18" s="21">
        <f>MAX((N5+N16),0)</f>
        <v>6243.6985526062745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0.19435213353394204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15515.925912649358</v>
      </c>
      <c r="C22" s="23">
        <f ca="1">C18*C20</f>
        <v>0</v>
      </c>
      <c r="D22" s="23">
        <f>D18*D20</f>
        <v>14255.701255254671</v>
      </c>
      <c r="E22" s="23">
        <f>E18*E20</f>
        <v>948.83889363735602</v>
      </c>
      <c r="F22" s="23">
        <f>F18*F20</f>
        <v>6793.1218577653453</v>
      </c>
      <c r="G22" s="23"/>
      <c r="H22" s="23"/>
      <c r="I22" s="23"/>
      <c r="J22" s="23">
        <f>J18*J20</f>
        <v>144.22605866690557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15.91799</v>
      </c>
      <c r="C30" s="39">
        <f>IF(ISERROR(B30*3.6/1000000/'E Balans VL '!Z18*100),0,B30*3.6/1000000/'E Balans VL '!Z18*100)</f>
        <v>2.2279881271229538E-3</v>
      </c>
      <c r="D30" s="232" t="s">
        <v>651</v>
      </c>
    </row>
    <row r="31" spans="1:18">
      <c r="A31" s="6" t="s">
        <v>32</v>
      </c>
      <c r="B31" s="37">
        <f>IF( ISERROR(IND_ander_ele_kWh/1000),0,IND_ander_ele_kWh/1000)</f>
        <v>1246.0129999999999</v>
      </c>
      <c r="C31" s="39">
        <f>IF(ISERROR(B31*3.6/1000000/'E Balans VL '!Z19*100),0,B31*3.6/1000000/'E Balans VL '!Z19*100)</f>
        <v>5.4537786877973615E-2</v>
      </c>
      <c r="D31" s="232" t="s">
        <v>651</v>
      </c>
    </row>
    <row r="32" spans="1:18">
      <c r="A32" s="167" t="s">
        <v>40</v>
      </c>
      <c r="B32" s="37">
        <f>IF( ISERROR(IND_voed_ele_kWh/1000),0,IND_voed_ele_kWh/1000)</f>
        <v>3940.739</v>
      </c>
      <c r="C32" s="39">
        <f>IF(ISERROR(B32*3.6/1000000/'E Balans VL '!Z20*100),0,B32*3.6/1000000/'E Balans VL '!Z20*100)</f>
        <v>0.97559611091281306</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0</v>
      </c>
      <c r="C35" s="39">
        <f>IF(ISERROR(B35*3.6/1000000/'E Balans VL '!Z22*100),0,B35*3.6/1000000/'E Balans VL '!Z22*100)</f>
        <v>0</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74631.421000000002</v>
      </c>
      <c r="C37" s="39">
        <f>IF(ISERROR(B37*3.6/1000000/'E Balans VL '!Z15*100),0,B37*3.6/1000000/'E Balans VL '!Z15*100)</f>
        <v>0.55337920927502904</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452.53826000000004</v>
      </c>
      <c r="C5" s="17">
        <f>'Eigen informatie GS &amp; warmtenet'!B60</f>
        <v>0</v>
      </c>
      <c r="D5" s="30">
        <f>IF(ISERROR(SUM(LB_lb_gas_kWh,LB_rest_gas_kWh)/1000),0,SUM(LB_lb_gas_kWh,LB_rest_gas_kWh)/1000)*0.902</f>
        <v>133.69200344251843</v>
      </c>
      <c r="E5" s="17">
        <f>B17*'E Balans VL '!I25/3.6*1000000/100</f>
        <v>9.704022006419228</v>
      </c>
      <c r="F5" s="17">
        <f>B17*('E Balans VL '!L25/3.6*1000000+'E Balans VL '!N25/3.6*1000000)/100</f>
        <v>1467.8891068291266</v>
      </c>
      <c r="G5" s="18"/>
      <c r="H5" s="17"/>
      <c r="I5" s="17"/>
      <c r="J5" s="17">
        <f>('E Balans VL '!D25+'E Balans VL '!E25)/3.6*1000000*landbouw!B17/100</f>
        <v>43.602300508601886</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452.53826000000004</v>
      </c>
      <c r="C8" s="21">
        <f>C5+C6</f>
        <v>0</v>
      </c>
      <c r="D8" s="21">
        <f>MAX((D5+D6),0)</f>
        <v>133.69200344251843</v>
      </c>
      <c r="E8" s="21">
        <f>MAX((E5+E6),0)</f>
        <v>9.704022006419228</v>
      </c>
      <c r="F8" s="21">
        <f>MAX((F5+F6),0)</f>
        <v>1467.8891068291266</v>
      </c>
      <c r="G8" s="21"/>
      <c r="H8" s="21"/>
      <c r="I8" s="21"/>
      <c r="J8" s="21">
        <f>MAX((J5+J6),0)</f>
        <v>43.602300508601886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0.19435213353394204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87.951776336737794</v>
      </c>
      <c r="C12" s="23">
        <f ca="1">C8*C10</f>
        <v>0</v>
      </c>
      <c r="D12" s="23">
        <f>D8*D10</f>
        <v>27.005784695388723</v>
      </c>
      <c r="E12" s="23">
        <f>E8*E10</f>
        <v>2.2028129954571649</v>
      </c>
      <c r="F12" s="23">
        <f>F8*F10</f>
        <v>391.92639152337682</v>
      </c>
      <c r="G12" s="23"/>
      <c r="H12" s="23"/>
      <c r="I12" s="23"/>
      <c r="J12" s="23">
        <f>J8*J10</f>
        <v>15.435214380045066</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6.4341345102319994E-2</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181.33293098205041</v>
      </c>
      <c r="C26" s="242">
        <f>B26*'GWP N2O_CH4'!B5</f>
        <v>3807.9915506230586</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37.038705394113848</v>
      </c>
      <c r="C27" s="242">
        <f>B27*'GWP N2O_CH4'!B5</f>
        <v>777.81281327639078</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3.0972716460152796</v>
      </c>
      <c r="C28" s="242">
        <f>B28*'GWP N2O_CH4'!B4</f>
        <v>960.15421026473666</v>
      </c>
      <c r="D28" s="50"/>
    </row>
    <row r="29" spans="1:4">
      <c r="A29" s="41" t="s">
        <v>266</v>
      </c>
      <c r="B29" s="242">
        <f>B34*'ha_N2O bodem landbouw'!B4</f>
        <v>8.7910773319986948</v>
      </c>
      <c r="C29" s="242">
        <f>B29*'GWP N2O_CH4'!B4</f>
        <v>2725.2339729195955</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1.9716837704294946E-3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2.2205978792816103E-5</v>
      </c>
      <c r="C5" s="428" t="s">
        <v>204</v>
      </c>
      <c r="D5" s="413">
        <f>SUM(D6:D11)</f>
        <v>3.3646166713528862E-5</v>
      </c>
      <c r="E5" s="413">
        <f>SUM(E6:E11)</f>
        <v>3.2651594140639261E-4</v>
      </c>
      <c r="F5" s="426" t="s">
        <v>204</v>
      </c>
      <c r="G5" s="413">
        <f>SUM(G6:G11)</f>
        <v>0.11263341247613429</v>
      </c>
      <c r="H5" s="413">
        <f>SUM(H6:H11)</f>
        <v>2.0686337860850449E-2</v>
      </c>
      <c r="I5" s="428" t="s">
        <v>204</v>
      </c>
      <c r="J5" s="428" t="s">
        <v>204</v>
      </c>
      <c r="K5" s="428" t="s">
        <v>204</v>
      </c>
      <c r="L5" s="428" t="s">
        <v>204</v>
      </c>
      <c r="M5" s="413">
        <f>SUM(M6:M11)</f>
        <v>7.1611569836464431E-3</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1.9255373952783501E-5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2.9122342888319358E-5</v>
      </c>
      <c r="E6" s="819">
        <f>vkm_GW_PW*SUMIFS(TableVerdeelsleutelVkm[LPG],TableVerdeelsleutelVkm[Voertuigtype],"Lichte voertuigen")*SUMIFS(TableECFTransport[EnergieConsumptieFactor (PJ per km)],TableECFTransport[Index],CONCATENATE($A6,"_LPG_LPG"))</f>
        <v>2.8449003525252511E-4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6.6054700119109716E-2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1.7992049305581008E-2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4.3784725228873771E-3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9.2147609719544967E-7</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3.5366448587658784E-2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7.9247431964401201E-7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2.0504699859185127E-3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1.9861977118373348E-6</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4.5238238252095019E-6</v>
      </c>
      <c r="E8" s="416">
        <f>vkm_NGW_PW*SUMIFS(TableVerdeelsleutelVkm[LPG],TableVerdeelsleutelVkm[Voertuigtype],"Lichte voertuigen")*SUMIFS(TableECFTransport[EnergieConsumptieFactor (PJ per km)],TableECFTransport[Index],CONCATENATE($A8,"_LPG_LPG"))</f>
        <v>4.2025906153867475E-5</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9.0952726201972717E-3</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2.6934515164652147E-3</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6.0947600697377818E-4</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4.2931030999815991E-8</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2.1169911491685234E-3</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4.4564484581599209E-8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1.227384678667747E-4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6.1683274424489172</v>
      </c>
      <c r="C14" s="21"/>
      <c r="D14" s="21">
        <f t="shared" ref="D14:M14" si="0">((D5)*10^9/3600)+D12</f>
        <v>9.3461574204246833</v>
      </c>
      <c r="E14" s="21">
        <f t="shared" si="0"/>
        <v>90.698872612886831</v>
      </c>
      <c r="F14" s="21"/>
      <c r="G14" s="21">
        <f t="shared" si="0"/>
        <v>31287.059021148412</v>
      </c>
      <c r="H14" s="21">
        <f t="shared" si="0"/>
        <v>5746.2049613473473</v>
      </c>
      <c r="I14" s="21"/>
      <c r="J14" s="21"/>
      <c r="K14" s="21"/>
      <c r="L14" s="21"/>
      <c r="M14" s="21">
        <f t="shared" si="0"/>
        <v>1989.2102732351232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0.19435213353394204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1.1988275987759112</v>
      </c>
      <c r="C18" s="23"/>
      <c r="D18" s="23">
        <f t="shared" ref="D18:M18" si="1">D14*D16</f>
        <v>1.8879237989257862</v>
      </c>
      <c r="E18" s="23">
        <f t="shared" si="1"/>
        <v>20.58864408312531</v>
      </c>
      <c r="F18" s="23"/>
      <c r="G18" s="23">
        <f t="shared" si="1"/>
        <v>8353.6447586466275</v>
      </c>
      <c r="H18" s="23">
        <f t="shared" si="1"/>
        <v>1430.8050353754895</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1.8327495104120065E-5</v>
      </c>
      <c r="C50" s="311">
        <f t="shared" ref="C50:P50" si="2">SUM(C51:C52)</f>
        <v>0</v>
      </c>
      <c r="D50" s="311">
        <f t="shared" si="2"/>
        <v>0</v>
      </c>
      <c r="E50" s="311">
        <f t="shared" si="2"/>
        <v>0</v>
      </c>
      <c r="F50" s="311">
        <f t="shared" si="2"/>
        <v>0</v>
      </c>
      <c r="G50" s="311">
        <f t="shared" si="2"/>
        <v>3.4728185613636044E-3</v>
      </c>
      <c r="H50" s="311">
        <f t="shared" si="2"/>
        <v>0</v>
      </c>
      <c r="I50" s="311">
        <f t="shared" si="2"/>
        <v>0</v>
      </c>
      <c r="J50" s="311">
        <f t="shared" si="2"/>
        <v>0</v>
      </c>
      <c r="K50" s="311">
        <f t="shared" si="2"/>
        <v>0</v>
      </c>
      <c r="L50" s="311">
        <f t="shared" si="2"/>
        <v>0</v>
      </c>
      <c r="M50" s="311">
        <f t="shared" si="2"/>
        <v>1.999233440845881E-4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1.8327495104120065E-5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3.4728185613636044E-3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1.999233440845881E-4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5.090970862255574</v>
      </c>
      <c r="C54" s="21">
        <f t="shared" ref="C54:P54" si="3">(C50)*10^9/3600</f>
        <v>0</v>
      </c>
      <c r="D54" s="21">
        <f t="shared" si="3"/>
        <v>0</v>
      </c>
      <c r="E54" s="21">
        <f t="shared" si="3"/>
        <v>0</v>
      </c>
      <c r="F54" s="21">
        <f t="shared" si="3"/>
        <v>0</v>
      </c>
      <c r="G54" s="21">
        <f t="shared" si="3"/>
        <v>964.67182260100117</v>
      </c>
      <c r="H54" s="21">
        <f t="shared" si="3"/>
        <v>0</v>
      </c>
      <c r="I54" s="21">
        <f t="shared" si="3"/>
        <v>0</v>
      </c>
      <c r="J54" s="21">
        <f t="shared" si="3"/>
        <v>0</v>
      </c>
      <c r="K54" s="21">
        <f t="shared" si="3"/>
        <v>0</v>
      </c>
      <c r="L54" s="21">
        <f t="shared" si="3"/>
        <v>0</v>
      </c>
      <c r="M54" s="21">
        <f t="shared" si="3"/>
        <v>55.534262245718914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0.19435213353394204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0.98944104883850337</v>
      </c>
      <c r="C58" s="23">
        <f t="shared" ref="C58:P58" ca="1" si="4">C54*C56</f>
        <v>0</v>
      </c>
      <c r="D58" s="23">
        <f t="shared" si="4"/>
        <v>0</v>
      </c>
      <c r="E58" s="23">
        <f t="shared" si="4"/>
        <v>0</v>
      </c>
      <c r="F58" s="23">
        <f t="shared" si="4"/>
        <v>0</v>
      </c>
      <c r="G58" s="23">
        <f t="shared" si="4"/>
        <v>257.56737663446734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12088.39033298098</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1804.993154870029</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0</v>
      </c>
      <c r="C8" s="535">
        <f>B48</f>
        <v>0</v>
      </c>
      <c r="D8" s="974"/>
      <c r="E8" s="974">
        <f>E48</f>
        <v>0</v>
      </c>
      <c r="F8" s="975"/>
      <c r="G8" s="536"/>
      <c r="H8" s="974">
        <f>I48</f>
        <v>0</v>
      </c>
      <c r="I8" s="974">
        <f>G48+F48</f>
        <v>0</v>
      </c>
      <c r="J8" s="974">
        <f>H48+D48+C48</f>
        <v>0</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13893.38348785101</v>
      </c>
      <c r="C10" s="548">
        <f t="shared" ref="C10:L10" si="0">SUM(C8:C9)</f>
        <v>0</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0</v>
      </c>
      <c r="C17" s="560">
        <f>B49</f>
        <v>0</v>
      </c>
      <c r="D17" s="561"/>
      <c r="E17" s="561">
        <f>E49</f>
        <v>0</v>
      </c>
      <c r="F17" s="980"/>
      <c r="G17" s="562"/>
      <c r="H17" s="560">
        <f>I49</f>
        <v>0</v>
      </c>
      <c r="I17" s="561">
        <f>G49+F49</f>
        <v>0</v>
      </c>
      <c r="J17" s="561">
        <f>H49+D49+C49</f>
        <v>0</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0</v>
      </c>
      <c r="C20" s="547">
        <f>SUM(C17:C19)</f>
        <v>0</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12.75" hidden="1">
      <c r="A28" s="570"/>
      <c r="B28" s="725"/>
      <c r="C28" s="725"/>
      <c r="D28" s="618"/>
      <c r="E28" s="617"/>
      <c r="F28" s="617"/>
      <c r="G28" s="617"/>
      <c r="H28" s="617"/>
      <c r="I28" s="617"/>
      <c r="J28" s="724"/>
      <c r="K28" s="724"/>
      <c r="L28" s="617"/>
      <c r="M28" s="617"/>
      <c r="N28" s="617"/>
      <c r="O28" s="617"/>
      <c r="P28" s="617"/>
      <c r="Q28" s="617"/>
      <c r="R28" s="617"/>
      <c r="S28" s="617"/>
      <c r="T28" s="617"/>
      <c r="U28" s="617"/>
      <c r="V28" s="617"/>
      <c r="W28" s="617"/>
      <c r="X28" s="617"/>
      <c r="Y28" s="617"/>
      <c r="Z28" s="617"/>
      <c r="AA28" s="619"/>
    </row>
    <row r="29" spans="1:27" s="555" customFormat="1" hidden="1">
      <c r="A29" s="573" t="s">
        <v>269</v>
      </c>
      <c r="B29" s="574"/>
      <c r="C29" s="574"/>
      <c r="D29" s="574"/>
      <c r="E29" s="574"/>
      <c r="F29" s="574"/>
      <c r="G29" s="574"/>
      <c r="H29" s="574"/>
      <c r="I29" s="574"/>
      <c r="J29" s="574"/>
      <c r="K29" s="574"/>
      <c r="L29" s="575"/>
      <c r="M29" s="575">
        <f>SUM(M28:M28)</f>
        <v>0</v>
      </c>
      <c r="N29" s="575">
        <f>SUM(N28:N28)</f>
        <v>0</v>
      </c>
      <c r="O29" s="575">
        <f>SUM(O28:O28)</f>
        <v>0</v>
      </c>
      <c r="P29" s="575">
        <f>SUM(P28:P28)</f>
        <v>0</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v>
      </c>
      <c r="C45" s="600">
        <f>IF(ISERROR(N29/(O29+N29)),0,N29/(N29+O29))</f>
        <v>0</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13795.2407</v>
      </c>
      <c r="D10" s="943">
        <f ca="1">tertiair!C16</f>
        <v>0</v>
      </c>
      <c r="E10" s="943">
        <f ca="1">tertiair!D16</f>
        <v>8087.7706258747976</v>
      </c>
      <c r="F10" s="943">
        <f>tertiair!E16</f>
        <v>219.54206284795976</v>
      </c>
      <c r="G10" s="943">
        <f ca="1">tertiair!F16</f>
        <v>2921.893203579596</v>
      </c>
      <c r="H10" s="943">
        <f>tertiair!G16</f>
        <v>0</v>
      </c>
      <c r="I10" s="943">
        <f>tertiair!H16</f>
        <v>0</v>
      </c>
      <c r="J10" s="943">
        <f>tertiair!I16</f>
        <v>0</v>
      </c>
      <c r="K10" s="943">
        <f>tertiair!J16</f>
        <v>0</v>
      </c>
      <c r="L10" s="943">
        <f>tertiair!K16</f>
        <v>0</v>
      </c>
      <c r="M10" s="943">
        <f ca="1">tertiair!L16</f>
        <v>0</v>
      </c>
      <c r="N10" s="943">
        <f>tertiair!M16</f>
        <v>0</v>
      </c>
      <c r="O10" s="943">
        <f ca="1">tertiair!N16</f>
        <v>868.33027392226984</v>
      </c>
      <c r="P10" s="943">
        <f>tertiair!O16</f>
        <v>4.6900000000000004</v>
      </c>
      <c r="Q10" s="944">
        <f>tertiair!P16</f>
        <v>0</v>
      </c>
      <c r="R10" s="629">
        <f ca="1">SUM(C10:Q10)</f>
        <v>25897.466866224622</v>
      </c>
      <c r="S10" s="67"/>
    </row>
    <row r="11" spans="1:19" s="438" customFormat="1">
      <c r="A11" s="737" t="s">
        <v>214</v>
      </c>
      <c r="B11" s="742"/>
      <c r="C11" s="943">
        <f>huishoudens!B8</f>
        <v>20473.213541245656</v>
      </c>
      <c r="D11" s="943">
        <f>huishoudens!C8</f>
        <v>0</v>
      </c>
      <c r="E11" s="943">
        <f>huishoudens!D8</f>
        <v>21383.271338968534</v>
      </c>
      <c r="F11" s="943">
        <f>huishoudens!E8</f>
        <v>1220.5737845255892</v>
      </c>
      <c r="G11" s="943">
        <f>huishoudens!F8</f>
        <v>38505.29494923813</v>
      </c>
      <c r="H11" s="943">
        <f>huishoudens!G8</f>
        <v>0</v>
      </c>
      <c r="I11" s="943">
        <f>huishoudens!H8</f>
        <v>0</v>
      </c>
      <c r="J11" s="943">
        <f>huishoudens!I8</f>
        <v>0</v>
      </c>
      <c r="K11" s="943">
        <f>huishoudens!J8</f>
        <v>897.94202362432497</v>
      </c>
      <c r="L11" s="943">
        <f>huishoudens!K8</f>
        <v>0</v>
      </c>
      <c r="M11" s="943">
        <f>huishoudens!L8</f>
        <v>0</v>
      </c>
      <c r="N11" s="943">
        <f>huishoudens!M8</f>
        <v>0</v>
      </c>
      <c r="O11" s="943">
        <f>huishoudens!N8</f>
        <v>5032.0007306826819</v>
      </c>
      <c r="P11" s="943">
        <f>huishoudens!O8</f>
        <v>204.79666666666668</v>
      </c>
      <c r="Q11" s="944">
        <f>huishoudens!P8</f>
        <v>114.4</v>
      </c>
      <c r="R11" s="629">
        <f>SUM(C11:Q11)</f>
        <v>87831.493034951578</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79834.090989999997</v>
      </c>
      <c r="D13" s="943">
        <f>industrie!C18</f>
        <v>0</v>
      </c>
      <c r="E13" s="943">
        <f>industrie!D18</f>
        <v>70572.778491359757</v>
      </c>
      <c r="F13" s="943">
        <f>industrie!E18</f>
        <v>4179.907020428881</v>
      </c>
      <c r="G13" s="943">
        <f>industrie!F18</f>
        <v>25442.403961667958</v>
      </c>
      <c r="H13" s="943">
        <f>industrie!G18</f>
        <v>0</v>
      </c>
      <c r="I13" s="943">
        <f>industrie!H18</f>
        <v>0</v>
      </c>
      <c r="J13" s="943">
        <f>industrie!I18</f>
        <v>0</v>
      </c>
      <c r="K13" s="943">
        <f>industrie!J18</f>
        <v>407.41824482176719</v>
      </c>
      <c r="L13" s="943">
        <f>industrie!K18</f>
        <v>0</v>
      </c>
      <c r="M13" s="943">
        <f>industrie!L18</f>
        <v>0</v>
      </c>
      <c r="N13" s="943">
        <f>industrie!M18</f>
        <v>0</v>
      </c>
      <c r="O13" s="943">
        <f>industrie!N18</f>
        <v>6243.6985526062745</v>
      </c>
      <c r="P13" s="943">
        <f>industrie!O18</f>
        <v>0</v>
      </c>
      <c r="Q13" s="944">
        <f>industrie!P18</f>
        <v>0</v>
      </c>
      <c r="R13" s="629">
        <f>SUM(C13:Q13)</f>
        <v>186680.29726088466</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114102.54523124566</v>
      </c>
      <c r="D16" s="661">
        <f t="shared" ref="D16:R16" ca="1" si="0">SUM(D9:D15)</f>
        <v>0</v>
      </c>
      <c r="E16" s="661">
        <f t="shared" ca="1" si="0"/>
        <v>100043.82045620309</v>
      </c>
      <c r="F16" s="661">
        <f t="shared" si="0"/>
        <v>5620.0228678024305</v>
      </c>
      <c r="G16" s="661">
        <f t="shared" ca="1" si="0"/>
        <v>66869.592114485684</v>
      </c>
      <c r="H16" s="661">
        <f t="shared" si="0"/>
        <v>0</v>
      </c>
      <c r="I16" s="661">
        <f t="shared" si="0"/>
        <v>0</v>
      </c>
      <c r="J16" s="661">
        <f t="shared" si="0"/>
        <v>0</v>
      </c>
      <c r="K16" s="661">
        <f t="shared" si="0"/>
        <v>1305.360268446092</v>
      </c>
      <c r="L16" s="661">
        <f t="shared" si="0"/>
        <v>0</v>
      </c>
      <c r="M16" s="661">
        <f t="shared" ca="1" si="0"/>
        <v>0</v>
      </c>
      <c r="N16" s="661">
        <f t="shared" si="0"/>
        <v>0</v>
      </c>
      <c r="O16" s="661">
        <f t="shared" ca="1" si="0"/>
        <v>12144.029557211226</v>
      </c>
      <c r="P16" s="661">
        <f t="shared" si="0"/>
        <v>209.48666666666668</v>
      </c>
      <c r="Q16" s="661">
        <f t="shared" si="0"/>
        <v>114.4</v>
      </c>
      <c r="R16" s="661">
        <f t="shared" ca="1" si="0"/>
        <v>300409.25716206088</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5.090970862255574</v>
      </c>
      <c r="D19" s="943">
        <f>transport!C54</f>
        <v>0</v>
      </c>
      <c r="E19" s="943">
        <f>transport!D54</f>
        <v>0</v>
      </c>
      <c r="F19" s="943">
        <f>transport!E54</f>
        <v>0</v>
      </c>
      <c r="G19" s="943">
        <f>transport!F54</f>
        <v>0</v>
      </c>
      <c r="H19" s="943">
        <f>transport!G54</f>
        <v>964.67182260100117</v>
      </c>
      <c r="I19" s="943">
        <f>transport!H54</f>
        <v>0</v>
      </c>
      <c r="J19" s="943">
        <f>transport!I54</f>
        <v>0</v>
      </c>
      <c r="K19" s="943">
        <f>transport!J54</f>
        <v>0</v>
      </c>
      <c r="L19" s="943">
        <f>transport!K54</f>
        <v>0</v>
      </c>
      <c r="M19" s="943">
        <f>transport!L54</f>
        <v>0</v>
      </c>
      <c r="N19" s="943">
        <f>transport!M54</f>
        <v>55.534262245718914</v>
      </c>
      <c r="O19" s="943">
        <f>transport!N54</f>
        <v>0</v>
      </c>
      <c r="P19" s="943">
        <f>transport!O54</f>
        <v>0</v>
      </c>
      <c r="Q19" s="944">
        <f>transport!P54</f>
        <v>0</v>
      </c>
      <c r="R19" s="629">
        <f>SUM(C19:Q19)</f>
        <v>1025.2970557089757</v>
      </c>
      <c r="S19" s="67"/>
    </row>
    <row r="20" spans="1:19" s="438" customFormat="1">
      <c r="A20" s="737" t="s">
        <v>296</v>
      </c>
      <c r="B20" s="742"/>
      <c r="C20" s="943">
        <f>transport!B14</f>
        <v>6.1683274424489172</v>
      </c>
      <c r="D20" s="943">
        <f>transport!C14</f>
        <v>0</v>
      </c>
      <c r="E20" s="943">
        <f>transport!D14</f>
        <v>9.3461574204246833</v>
      </c>
      <c r="F20" s="943">
        <f>transport!E14</f>
        <v>90.698872612886831</v>
      </c>
      <c r="G20" s="943">
        <f>transport!F14</f>
        <v>0</v>
      </c>
      <c r="H20" s="943">
        <f>transport!G14</f>
        <v>31287.059021148412</v>
      </c>
      <c r="I20" s="943">
        <f>transport!H14</f>
        <v>5746.2049613473473</v>
      </c>
      <c r="J20" s="943">
        <f>transport!I14</f>
        <v>0</v>
      </c>
      <c r="K20" s="943">
        <f>transport!J14</f>
        <v>0</v>
      </c>
      <c r="L20" s="943">
        <f>transport!K14</f>
        <v>0</v>
      </c>
      <c r="M20" s="943">
        <f>transport!L14</f>
        <v>0</v>
      </c>
      <c r="N20" s="943">
        <f>transport!M14</f>
        <v>1989.2102732351232</v>
      </c>
      <c r="O20" s="943">
        <f>transport!N14</f>
        <v>0</v>
      </c>
      <c r="P20" s="943">
        <f>transport!O14</f>
        <v>0</v>
      </c>
      <c r="Q20" s="944">
        <f>transport!P14</f>
        <v>0</v>
      </c>
      <c r="R20" s="629">
        <f>SUM(C20:Q20)</f>
        <v>39128.687613206639</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11.25929830470449</v>
      </c>
      <c r="D22" s="740">
        <f t="shared" ref="D22:R22" si="1">SUM(D18:D21)</f>
        <v>0</v>
      </c>
      <c r="E22" s="740">
        <f t="shared" si="1"/>
        <v>9.3461574204246833</v>
      </c>
      <c r="F22" s="740">
        <f t="shared" si="1"/>
        <v>90.698872612886831</v>
      </c>
      <c r="G22" s="740">
        <f t="shared" si="1"/>
        <v>0</v>
      </c>
      <c r="H22" s="740">
        <f t="shared" si="1"/>
        <v>32251.730843749414</v>
      </c>
      <c r="I22" s="740">
        <f t="shared" si="1"/>
        <v>5746.2049613473473</v>
      </c>
      <c r="J22" s="740">
        <f t="shared" si="1"/>
        <v>0</v>
      </c>
      <c r="K22" s="740">
        <f t="shared" si="1"/>
        <v>0</v>
      </c>
      <c r="L22" s="740">
        <f t="shared" si="1"/>
        <v>0</v>
      </c>
      <c r="M22" s="740">
        <f t="shared" si="1"/>
        <v>0</v>
      </c>
      <c r="N22" s="740">
        <f t="shared" si="1"/>
        <v>2044.7445354808422</v>
      </c>
      <c r="O22" s="740">
        <f t="shared" si="1"/>
        <v>0</v>
      </c>
      <c r="P22" s="740">
        <f t="shared" si="1"/>
        <v>0</v>
      </c>
      <c r="Q22" s="740">
        <f t="shared" si="1"/>
        <v>0</v>
      </c>
      <c r="R22" s="740">
        <f t="shared" si="1"/>
        <v>40153.984668915611</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452.53826000000004</v>
      </c>
      <c r="D24" s="943">
        <f>+landbouw!C8</f>
        <v>0</v>
      </c>
      <c r="E24" s="943">
        <f>+landbouw!D8</f>
        <v>133.69200344251843</v>
      </c>
      <c r="F24" s="943">
        <f>+landbouw!E8</f>
        <v>9.704022006419228</v>
      </c>
      <c r="G24" s="943">
        <f>+landbouw!F8</f>
        <v>1467.8891068291266</v>
      </c>
      <c r="H24" s="943">
        <f>+landbouw!G8</f>
        <v>0</v>
      </c>
      <c r="I24" s="943">
        <f>+landbouw!H8</f>
        <v>0</v>
      </c>
      <c r="J24" s="943">
        <f>+landbouw!I8</f>
        <v>0</v>
      </c>
      <c r="K24" s="943">
        <f>+landbouw!J8</f>
        <v>43.602300508601886</v>
      </c>
      <c r="L24" s="943">
        <f>+landbouw!K8</f>
        <v>0</v>
      </c>
      <c r="M24" s="943">
        <f>+landbouw!L8</f>
        <v>0</v>
      </c>
      <c r="N24" s="943">
        <f>+landbouw!M8</f>
        <v>0</v>
      </c>
      <c r="O24" s="943">
        <f>+landbouw!N8</f>
        <v>0</v>
      </c>
      <c r="P24" s="943">
        <f>+landbouw!O8</f>
        <v>0</v>
      </c>
      <c r="Q24" s="944">
        <f>+landbouw!P8</f>
        <v>0</v>
      </c>
      <c r="R24" s="629">
        <f>SUM(C24:Q24)</f>
        <v>2107.4256927866659</v>
      </c>
      <c r="S24" s="67"/>
    </row>
    <row r="25" spans="1:19" s="438" customFormat="1" ht="15" thickBot="1">
      <c r="A25" s="759" t="s">
        <v>802</v>
      </c>
      <c r="B25" s="946"/>
      <c r="C25" s="947">
        <f>IF(Onbekend_ele_kWh="---",0,Onbekend_ele_kWh)/1000+IF(REST_rest_ele_kWh="---",0,REST_rest_ele_kWh)/1000</f>
        <v>656.3057</v>
      </c>
      <c r="D25" s="947"/>
      <c r="E25" s="947">
        <f>IF(onbekend_gas_kWh="---",0,onbekend_gas_kWh)/1000+IF(REST_rest_gas_kWh="---",0,REST_rest_gas_kWh)/1000</f>
        <v>681.80430635769096</v>
      </c>
      <c r="F25" s="947"/>
      <c r="G25" s="947"/>
      <c r="H25" s="947"/>
      <c r="I25" s="947"/>
      <c r="J25" s="947"/>
      <c r="K25" s="947"/>
      <c r="L25" s="947"/>
      <c r="M25" s="947"/>
      <c r="N25" s="947"/>
      <c r="O25" s="947"/>
      <c r="P25" s="947"/>
      <c r="Q25" s="948"/>
      <c r="R25" s="629">
        <f>SUM(C25:Q25)</f>
        <v>1338.110006357691</v>
      </c>
      <c r="S25" s="67"/>
    </row>
    <row r="26" spans="1:19" s="438" customFormat="1" ht="15.75" thickBot="1">
      <c r="A26" s="634" t="s">
        <v>803</v>
      </c>
      <c r="B26" s="745"/>
      <c r="C26" s="740">
        <f>SUM(C24:C25)</f>
        <v>1108.8439600000002</v>
      </c>
      <c r="D26" s="740">
        <f t="shared" ref="D26:R26" si="2">SUM(D24:D25)</f>
        <v>0</v>
      </c>
      <c r="E26" s="740">
        <f t="shared" si="2"/>
        <v>815.49630980020936</v>
      </c>
      <c r="F26" s="740">
        <f t="shared" si="2"/>
        <v>9.704022006419228</v>
      </c>
      <c r="G26" s="740">
        <f t="shared" si="2"/>
        <v>1467.8891068291266</v>
      </c>
      <c r="H26" s="740">
        <f t="shared" si="2"/>
        <v>0</v>
      </c>
      <c r="I26" s="740">
        <f t="shared" si="2"/>
        <v>0</v>
      </c>
      <c r="J26" s="740">
        <f t="shared" si="2"/>
        <v>0</v>
      </c>
      <c r="K26" s="740">
        <f t="shared" si="2"/>
        <v>43.602300508601886</v>
      </c>
      <c r="L26" s="740">
        <f t="shared" si="2"/>
        <v>0</v>
      </c>
      <c r="M26" s="740">
        <f t="shared" si="2"/>
        <v>0</v>
      </c>
      <c r="N26" s="740">
        <f t="shared" si="2"/>
        <v>0</v>
      </c>
      <c r="O26" s="740">
        <f t="shared" si="2"/>
        <v>0</v>
      </c>
      <c r="P26" s="740">
        <f t="shared" si="2"/>
        <v>0</v>
      </c>
      <c r="Q26" s="740">
        <f t="shared" si="2"/>
        <v>0</v>
      </c>
      <c r="R26" s="740">
        <f t="shared" si="2"/>
        <v>3445.5356991443568</v>
      </c>
      <c r="S26" s="67"/>
    </row>
    <row r="27" spans="1:19" s="438" customFormat="1" ht="17.25" thickTop="1" thickBot="1">
      <c r="A27" s="635" t="s">
        <v>109</v>
      </c>
      <c r="B27" s="733"/>
      <c r="C27" s="636">
        <f ca="1">C22+C16+C26</f>
        <v>115222.64848955037</v>
      </c>
      <c r="D27" s="636">
        <f t="shared" ref="D27:R27" ca="1" si="3">D22+D16+D26</f>
        <v>0</v>
      </c>
      <c r="E27" s="636">
        <f t="shared" ca="1" si="3"/>
        <v>100868.66292342372</v>
      </c>
      <c r="F27" s="636">
        <f t="shared" si="3"/>
        <v>5720.4257624217362</v>
      </c>
      <c r="G27" s="636">
        <f t="shared" ca="1" si="3"/>
        <v>68337.481221314811</v>
      </c>
      <c r="H27" s="636">
        <f t="shared" si="3"/>
        <v>32251.730843749414</v>
      </c>
      <c r="I27" s="636">
        <f t="shared" si="3"/>
        <v>5746.2049613473473</v>
      </c>
      <c r="J27" s="636">
        <f t="shared" si="3"/>
        <v>0</v>
      </c>
      <c r="K27" s="636">
        <f t="shared" si="3"/>
        <v>1348.962568954694</v>
      </c>
      <c r="L27" s="636">
        <f t="shared" si="3"/>
        <v>0</v>
      </c>
      <c r="M27" s="636">
        <f t="shared" ca="1" si="3"/>
        <v>0</v>
      </c>
      <c r="N27" s="636">
        <f t="shared" si="3"/>
        <v>2044.7445354808422</v>
      </c>
      <c r="O27" s="636">
        <f t="shared" ca="1" si="3"/>
        <v>12144.029557211226</v>
      </c>
      <c r="P27" s="636">
        <f t="shared" si="3"/>
        <v>209.48666666666668</v>
      </c>
      <c r="Q27" s="636">
        <f t="shared" si="3"/>
        <v>114.4</v>
      </c>
      <c r="R27" s="636">
        <f t="shared" ca="1" si="3"/>
        <v>344008.77753012086</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2681.1344626592722</v>
      </c>
      <c r="D40" s="943">
        <f ca="1">tertiair!C20</f>
        <v>0</v>
      </c>
      <c r="E40" s="943">
        <f ca="1">tertiair!D20</f>
        <v>1633.7296664267092</v>
      </c>
      <c r="F40" s="943">
        <f>tertiair!E20</f>
        <v>49.836048266486863</v>
      </c>
      <c r="G40" s="943">
        <f ca="1">tertiair!F20</f>
        <v>780.14548535575216</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5144.8456627082205</v>
      </c>
    </row>
    <row r="41" spans="1:18">
      <c r="A41" s="750" t="s">
        <v>214</v>
      </c>
      <c r="B41" s="757"/>
      <c r="C41" s="943">
        <f ca="1">huishoudens!B12</f>
        <v>3979.0127320370862</v>
      </c>
      <c r="D41" s="943">
        <f ca="1">huishoudens!C12</f>
        <v>0</v>
      </c>
      <c r="E41" s="943">
        <f>huishoudens!D12</f>
        <v>4319.4208104716445</v>
      </c>
      <c r="F41" s="943">
        <f>huishoudens!E12</f>
        <v>277.07024908730875</v>
      </c>
      <c r="G41" s="943">
        <f>huishoudens!F12</f>
        <v>10280.913751446582</v>
      </c>
      <c r="H41" s="943">
        <f>huishoudens!G12</f>
        <v>0</v>
      </c>
      <c r="I41" s="943">
        <f>huishoudens!H12</f>
        <v>0</v>
      </c>
      <c r="J41" s="943">
        <f>huishoudens!I12</f>
        <v>0</v>
      </c>
      <c r="K41" s="943">
        <f>huishoudens!J12</f>
        <v>317.87147636301103</v>
      </c>
      <c r="L41" s="943">
        <f>huishoudens!K12</f>
        <v>0</v>
      </c>
      <c r="M41" s="943">
        <f>huishoudens!L12</f>
        <v>0</v>
      </c>
      <c r="N41" s="943">
        <f>huishoudens!M12</f>
        <v>0</v>
      </c>
      <c r="O41" s="943">
        <f>huishoudens!N12</f>
        <v>0</v>
      </c>
      <c r="P41" s="943">
        <f>huishoudens!O12</f>
        <v>0</v>
      </c>
      <c r="Q41" s="703">
        <f>huishoudens!P12</f>
        <v>0</v>
      </c>
      <c r="R41" s="778">
        <f t="shared" ca="1" si="4"/>
        <v>19174.289019405631</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15515.925912649358</v>
      </c>
      <c r="D43" s="943">
        <f ca="1">industrie!C22</f>
        <v>0</v>
      </c>
      <c r="E43" s="943">
        <f>industrie!D22</f>
        <v>14255.701255254671</v>
      </c>
      <c r="F43" s="943">
        <f>industrie!E22</f>
        <v>948.83889363735602</v>
      </c>
      <c r="G43" s="943">
        <f>industrie!F22</f>
        <v>6793.1218577653453</v>
      </c>
      <c r="H43" s="943">
        <f>industrie!G22</f>
        <v>0</v>
      </c>
      <c r="I43" s="943">
        <f>industrie!H22</f>
        <v>0</v>
      </c>
      <c r="J43" s="943">
        <f>industrie!I22</f>
        <v>0</v>
      </c>
      <c r="K43" s="943">
        <f>industrie!J22</f>
        <v>144.22605866690557</v>
      </c>
      <c r="L43" s="943">
        <f>industrie!K22</f>
        <v>0</v>
      </c>
      <c r="M43" s="943">
        <f>industrie!L22</f>
        <v>0</v>
      </c>
      <c r="N43" s="943">
        <f>industrie!M22</f>
        <v>0</v>
      </c>
      <c r="O43" s="943">
        <f>industrie!N22</f>
        <v>0</v>
      </c>
      <c r="P43" s="943">
        <f>industrie!O22</f>
        <v>0</v>
      </c>
      <c r="Q43" s="703">
        <f>industrie!P22</f>
        <v>0</v>
      </c>
      <c r="R43" s="777">
        <f t="shared" ca="1" si="4"/>
        <v>37657.813977973638</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22176.073107345717</v>
      </c>
      <c r="D46" s="661">
        <f t="shared" ref="D46:Q46" ca="1" si="5">SUM(D39:D45)</f>
        <v>0</v>
      </c>
      <c r="E46" s="661">
        <f t="shared" ca="1" si="5"/>
        <v>20208.851732153023</v>
      </c>
      <c r="F46" s="661">
        <f t="shared" si="5"/>
        <v>1275.7451909911515</v>
      </c>
      <c r="G46" s="661">
        <f t="shared" ca="1" si="5"/>
        <v>17854.181094567677</v>
      </c>
      <c r="H46" s="661">
        <f t="shared" si="5"/>
        <v>0</v>
      </c>
      <c r="I46" s="661">
        <f t="shared" si="5"/>
        <v>0</v>
      </c>
      <c r="J46" s="661">
        <f t="shared" si="5"/>
        <v>0</v>
      </c>
      <c r="K46" s="661">
        <f t="shared" si="5"/>
        <v>462.09753502991657</v>
      </c>
      <c r="L46" s="661">
        <f t="shared" si="5"/>
        <v>0</v>
      </c>
      <c r="M46" s="661">
        <f t="shared" ca="1" si="5"/>
        <v>0</v>
      </c>
      <c r="N46" s="661">
        <f t="shared" si="5"/>
        <v>0</v>
      </c>
      <c r="O46" s="661">
        <f t="shared" ca="1" si="5"/>
        <v>0</v>
      </c>
      <c r="P46" s="661">
        <f t="shared" si="5"/>
        <v>0</v>
      </c>
      <c r="Q46" s="661">
        <f t="shared" si="5"/>
        <v>0</v>
      </c>
      <c r="R46" s="661">
        <f ca="1">SUM(R39:R45)</f>
        <v>61976.948660087488</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0.98944104883850337</v>
      </c>
      <c r="D49" s="943">
        <f ca="1">transport!C58</f>
        <v>0</v>
      </c>
      <c r="E49" s="943">
        <f>transport!D58</f>
        <v>0</v>
      </c>
      <c r="F49" s="943">
        <f>transport!E58</f>
        <v>0</v>
      </c>
      <c r="G49" s="943">
        <f>transport!F58</f>
        <v>0</v>
      </c>
      <c r="H49" s="943">
        <f>transport!G58</f>
        <v>257.56737663446734</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258.55681768330584</v>
      </c>
    </row>
    <row r="50" spans="1:18">
      <c r="A50" s="753" t="s">
        <v>296</v>
      </c>
      <c r="B50" s="763"/>
      <c r="C50" s="632">
        <f ca="1">transport!B18</f>
        <v>1.1988275987759112</v>
      </c>
      <c r="D50" s="632">
        <f>transport!C18</f>
        <v>0</v>
      </c>
      <c r="E50" s="632">
        <f>transport!D18</f>
        <v>1.8879237989257862</v>
      </c>
      <c r="F50" s="632">
        <f>transport!E18</f>
        <v>20.58864408312531</v>
      </c>
      <c r="G50" s="632">
        <f>transport!F18</f>
        <v>0</v>
      </c>
      <c r="H50" s="632">
        <f>transport!G18</f>
        <v>8353.6447586466275</v>
      </c>
      <c r="I50" s="632">
        <f>transport!H18</f>
        <v>1430.8050353754895</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9808.1251895029436</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2.1882686476144144</v>
      </c>
      <c r="D52" s="661">
        <f t="shared" ref="D52:Q52" ca="1" si="6">SUM(D48:D51)</f>
        <v>0</v>
      </c>
      <c r="E52" s="661">
        <f t="shared" si="6"/>
        <v>1.8879237989257862</v>
      </c>
      <c r="F52" s="661">
        <f t="shared" si="6"/>
        <v>20.58864408312531</v>
      </c>
      <c r="G52" s="661">
        <f t="shared" si="6"/>
        <v>0</v>
      </c>
      <c r="H52" s="661">
        <f t="shared" si="6"/>
        <v>8611.2121352810955</v>
      </c>
      <c r="I52" s="661">
        <f t="shared" si="6"/>
        <v>1430.8050353754895</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10066.682007186249</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87.951776336737794</v>
      </c>
      <c r="D54" s="632">
        <f ca="1">+landbouw!C12</f>
        <v>0</v>
      </c>
      <c r="E54" s="632">
        <f>+landbouw!D12</f>
        <v>27.005784695388723</v>
      </c>
      <c r="F54" s="632">
        <f>+landbouw!E12</f>
        <v>2.2028129954571649</v>
      </c>
      <c r="G54" s="632">
        <f>+landbouw!F12</f>
        <v>391.92639152337682</v>
      </c>
      <c r="H54" s="632">
        <f>+landbouw!G12</f>
        <v>0</v>
      </c>
      <c r="I54" s="632">
        <f>+landbouw!H12</f>
        <v>0</v>
      </c>
      <c r="J54" s="632">
        <f>+landbouw!I12</f>
        <v>0</v>
      </c>
      <c r="K54" s="632">
        <f>+landbouw!J12</f>
        <v>15.435214380045066</v>
      </c>
      <c r="L54" s="632">
        <f>+landbouw!K12</f>
        <v>0</v>
      </c>
      <c r="M54" s="632">
        <f>+landbouw!L12</f>
        <v>0</v>
      </c>
      <c r="N54" s="632">
        <f>+landbouw!M12</f>
        <v>0</v>
      </c>
      <c r="O54" s="632">
        <f>+landbouw!N12</f>
        <v>0</v>
      </c>
      <c r="P54" s="632">
        <f>+landbouw!O12</f>
        <v>0</v>
      </c>
      <c r="Q54" s="633">
        <f>+landbouw!P12</f>
        <v>0</v>
      </c>
      <c r="R54" s="660">
        <f ca="1">SUM(C54:Q54)</f>
        <v>524.5219799310056</v>
      </c>
    </row>
    <row r="55" spans="1:18" ht="15" thickBot="1">
      <c r="A55" s="753" t="s">
        <v>802</v>
      </c>
      <c r="B55" s="763"/>
      <c r="C55" s="632">
        <f ca="1">C25*'EF ele_warmte'!B12</f>
        <v>127.55441304548731</v>
      </c>
      <c r="D55" s="632"/>
      <c r="E55" s="632">
        <f>E25*EF_CO2_aardgas</f>
        <v>137.72446988425358</v>
      </c>
      <c r="F55" s="632"/>
      <c r="G55" s="632"/>
      <c r="H55" s="632"/>
      <c r="I55" s="632"/>
      <c r="J55" s="632"/>
      <c r="K55" s="632"/>
      <c r="L55" s="632"/>
      <c r="M55" s="632"/>
      <c r="N55" s="632"/>
      <c r="O55" s="632"/>
      <c r="P55" s="632"/>
      <c r="Q55" s="633"/>
      <c r="R55" s="660">
        <f ca="1">SUM(C55:Q55)</f>
        <v>265.27888292974092</v>
      </c>
    </row>
    <row r="56" spans="1:18" ht="15.75" thickBot="1">
      <c r="A56" s="751" t="s">
        <v>803</v>
      </c>
      <c r="B56" s="764"/>
      <c r="C56" s="661">
        <f ca="1">SUM(C54:C55)</f>
        <v>215.5061893822251</v>
      </c>
      <c r="D56" s="661">
        <f t="shared" ref="D56:Q56" ca="1" si="7">SUM(D54:D55)</f>
        <v>0</v>
      </c>
      <c r="E56" s="661">
        <f t="shared" si="7"/>
        <v>164.73025457964229</v>
      </c>
      <c r="F56" s="661">
        <f t="shared" si="7"/>
        <v>2.2028129954571649</v>
      </c>
      <c r="G56" s="661">
        <f t="shared" si="7"/>
        <v>391.92639152337682</v>
      </c>
      <c r="H56" s="661">
        <f t="shared" si="7"/>
        <v>0</v>
      </c>
      <c r="I56" s="661">
        <f t="shared" si="7"/>
        <v>0</v>
      </c>
      <c r="J56" s="661">
        <f t="shared" si="7"/>
        <v>0</v>
      </c>
      <c r="K56" s="661">
        <f t="shared" si="7"/>
        <v>15.435214380045066</v>
      </c>
      <c r="L56" s="661">
        <f t="shared" si="7"/>
        <v>0</v>
      </c>
      <c r="M56" s="661">
        <f t="shared" si="7"/>
        <v>0</v>
      </c>
      <c r="N56" s="661">
        <f t="shared" si="7"/>
        <v>0</v>
      </c>
      <c r="O56" s="661">
        <f t="shared" si="7"/>
        <v>0</v>
      </c>
      <c r="P56" s="661">
        <f t="shared" si="7"/>
        <v>0</v>
      </c>
      <c r="Q56" s="662">
        <f t="shared" si="7"/>
        <v>0</v>
      </c>
      <c r="R56" s="663">
        <f ca="1">SUM(R54:R55)</f>
        <v>789.80086286074652</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22393.767565375554</v>
      </c>
      <c r="D61" s="669">
        <f t="shared" ref="D61:Q61" ca="1" si="8">D46+D52+D56</f>
        <v>0</v>
      </c>
      <c r="E61" s="669">
        <f t="shared" ca="1" si="8"/>
        <v>20375.469910531589</v>
      </c>
      <c r="F61" s="669">
        <f t="shared" si="8"/>
        <v>1298.5366480697339</v>
      </c>
      <c r="G61" s="669">
        <f t="shared" ca="1" si="8"/>
        <v>18246.107486091052</v>
      </c>
      <c r="H61" s="669">
        <f t="shared" si="8"/>
        <v>8611.2121352810955</v>
      </c>
      <c r="I61" s="669">
        <f t="shared" si="8"/>
        <v>1430.8050353754895</v>
      </c>
      <c r="J61" s="669">
        <f t="shared" si="8"/>
        <v>0</v>
      </c>
      <c r="K61" s="669">
        <f t="shared" si="8"/>
        <v>477.53274940996164</v>
      </c>
      <c r="L61" s="669">
        <f t="shared" si="8"/>
        <v>0</v>
      </c>
      <c r="M61" s="669">
        <f t="shared" ca="1" si="8"/>
        <v>0</v>
      </c>
      <c r="N61" s="669">
        <f t="shared" si="8"/>
        <v>0</v>
      </c>
      <c r="O61" s="669">
        <f t="shared" ca="1" si="8"/>
        <v>0</v>
      </c>
      <c r="P61" s="669">
        <f t="shared" si="8"/>
        <v>0</v>
      </c>
      <c r="Q61" s="669">
        <f t="shared" si="8"/>
        <v>0</v>
      </c>
      <c r="R61" s="669">
        <f ca="1">R46+R52+R56</f>
        <v>72833.43153013449</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0.19435213353394201</v>
      </c>
      <c r="D63" s="710">
        <f t="shared" ca="1" si="9"/>
        <v>0</v>
      </c>
      <c r="E63" s="954">
        <f t="shared" ca="1" si="9"/>
        <v>0.20199999999999999</v>
      </c>
      <c r="F63" s="710">
        <f t="shared" si="9"/>
        <v>0.22699999999999998</v>
      </c>
      <c r="G63" s="710">
        <f t="shared" ca="1" si="9"/>
        <v>0.26699999999999996</v>
      </c>
      <c r="H63" s="710">
        <f t="shared" si="9"/>
        <v>0.26700000000000007</v>
      </c>
      <c r="I63" s="710">
        <f t="shared" si="9"/>
        <v>0.249</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12088.39033298098</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1804.993154870029</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13893.38348785101</v>
      </c>
      <c r="C78" s="684">
        <f>SUM(C72:C77)</f>
        <v>0</v>
      </c>
      <c r="D78" s="685">
        <f t="shared" ref="D78:H78" si="10">SUM(D76:D77)</f>
        <v>0</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0</v>
      </c>
      <c r="D90" s="684">
        <f t="shared" ref="D90:H90" si="12">SUM(D87:D89)</f>
        <v>0</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20473.213541245656</v>
      </c>
      <c r="C4" s="442">
        <f>huishoudens!C8</f>
        <v>0</v>
      </c>
      <c r="D4" s="442">
        <f>huishoudens!D8</f>
        <v>21383.271338968534</v>
      </c>
      <c r="E4" s="442">
        <f>huishoudens!E8</f>
        <v>1220.5737845255892</v>
      </c>
      <c r="F4" s="442">
        <f>huishoudens!F8</f>
        <v>38505.29494923813</v>
      </c>
      <c r="G4" s="442">
        <f>huishoudens!G8</f>
        <v>0</v>
      </c>
      <c r="H4" s="442">
        <f>huishoudens!H8</f>
        <v>0</v>
      </c>
      <c r="I4" s="442">
        <f>huishoudens!I8</f>
        <v>0</v>
      </c>
      <c r="J4" s="442">
        <f>huishoudens!J8</f>
        <v>897.94202362432497</v>
      </c>
      <c r="K4" s="442">
        <f>huishoudens!K8</f>
        <v>0</v>
      </c>
      <c r="L4" s="442">
        <f>huishoudens!L8</f>
        <v>0</v>
      </c>
      <c r="M4" s="442">
        <f>huishoudens!M8</f>
        <v>0</v>
      </c>
      <c r="N4" s="442">
        <f>huishoudens!N8</f>
        <v>5032.0007306826819</v>
      </c>
      <c r="O4" s="442">
        <f>huishoudens!O8</f>
        <v>204.79666666666668</v>
      </c>
      <c r="P4" s="443">
        <f>huishoudens!P8</f>
        <v>114.4</v>
      </c>
      <c r="Q4" s="444">
        <f>SUM(B4:P4)</f>
        <v>87831.493034951578</v>
      </c>
    </row>
    <row r="5" spans="1:17">
      <c r="A5" s="441" t="s">
        <v>149</v>
      </c>
      <c r="B5" s="442">
        <f ca="1">tertiair!B16</f>
        <v>13146.1427</v>
      </c>
      <c r="C5" s="442">
        <f ca="1">tertiair!C16</f>
        <v>0</v>
      </c>
      <c r="D5" s="442">
        <f ca="1">tertiair!D16</f>
        <v>8087.7706258747976</v>
      </c>
      <c r="E5" s="442">
        <f>tertiair!E16</f>
        <v>219.54206284795976</v>
      </c>
      <c r="F5" s="442">
        <f ca="1">tertiair!F16</f>
        <v>2921.893203579596</v>
      </c>
      <c r="G5" s="442">
        <f>tertiair!G16</f>
        <v>0</v>
      </c>
      <c r="H5" s="442">
        <f>tertiair!H16</f>
        <v>0</v>
      </c>
      <c r="I5" s="442">
        <f>tertiair!I16</f>
        <v>0</v>
      </c>
      <c r="J5" s="442">
        <f>tertiair!J16</f>
        <v>0</v>
      </c>
      <c r="K5" s="442">
        <f>tertiair!K16</f>
        <v>0</v>
      </c>
      <c r="L5" s="442">
        <f ca="1">tertiair!L16</f>
        <v>0</v>
      </c>
      <c r="M5" s="442">
        <f>tertiair!M16</f>
        <v>0</v>
      </c>
      <c r="N5" s="442">
        <f ca="1">tertiair!N16</f>
        <v>868.33027392226984</v>
      </c>
      <c r="O5" s="442">
        <f>tertiair!O16</f>
        <v>4.6900000000000004</v>
      </c>
      <c r="P5" s="443">
        <f>tertiair!P16</f>
        <v>0</v>
      </c>
      <c r="Q5" s="441">
        <f t="shared" ref="Q5:Q14" ca="1" si="0">SUM(B5:P5)</f>
        <v>25248.36886622462</v>
      </c>
    </row>
    <row r="6" spans="1:17">
      <c r="A6" s="441" t="s">
        <v>187</v>
      </c>
      <c r="B6" s="442">
        <f>'openbare verlichting'!B8</f>
        <v>649.09799999999996</v>
      </c>
      <c r="C6" s="442"/>
      <c r="D6" s="442"/>
      <c r="E6" s="442"/>
      <c r="F6" s="442"/>
      <c r="G6" s="442"/>
      <c r="H6" s="442"/>
      <c r="I6" s="442"/>
      <c r="J6" s="442"/>
      <c r="K6" s="442"/>
      <c r="L6" s="442"/>
      <c r="M6" s="442"/>
      <c r="N6" s="442"/>
      <c r="O6" s="442"/>
      <c r="P6" s="443"/>
      <c r="Q6" s="441">
        <f t="shared" si="0"/>
        <v>649.09799999999996</v>
      </c>
    </row>
    <row r="7" spans="1:17">
      <c r="A7" s="441" t="s">
        <v>105</v>
      </c>
      <c r="B7" s="442">
        <f>landbouw!B8</f>
        <v>452.53826000000004</v>
      </c>
      <c r="C7" s="442">
        <f>landbouw!C8</f>
        <v>0</v>
      </c>
      <c r="D7" s="442">
        <f>landbouw!D8</f>
        <v>133.69200344251843</v>
      </c>
      <c r="E7" s="442">
        <f>landbouw!E8</f>
        <v>9.704022006419228</v>
      </c>
      <c r="F7" s="442">
        <f>landbouw!F8</f>
        <v>1467.8891068291266</v>
      </c>
      <c r="G7" s="442">
        <f>landbouw!G8</f>
        <v>0</v>
      </c>
      <c r="H7" s="442">
        <f>landbouw!H8</f>
        <v>0</v>
      </c>
      <c r="I7" s="442">
        <f>landbouw!I8</f>
        <v>0</v>
      </c>
      <c r="J7" s="442">
        <f>landbouw!J8</f>
        <v>43.602300508601886</v>
      </c>
      <c r="K7" s="442">
        <f>landbouw!K8</f>
        <v>0</v>
      </c>
      <c r="L7" s="442">
        <f>landbouw!L8</f>
        <v>0</v>
      </c>
      <c r="M7" s="442">
        <f>landbouw!M8</f>
        <v>0</v>
      </c>
      <c r="N7" s="442">
        <f>landbouw!N8</f>
        <v>0</v>
      </c>
      <c r="O7" s="442">
        <f>landbouw!O8</f>
        <v>0</v>
      </c>
      <c r="P7" s="443">
        <f>landbouw!P8</f>
        <v>0</v>
      </c>
      <c r="Q7" s="441">
        <f t="shared" si="0"/>
        <v>2107.4256927866659</v>
      </c>
    </row>
    <row r="8" spans="1:17">
      <c r="A8" s="441" t="s">
        <v>612</v>
      </c>
      <c r="B8" s="442">
        <f>industrie!B18</f>
        <v>79834.090989999997</v>
      </c>
      <c r="C8" s="442">
        <f>industrie!C18</f>
        <v>0</v>
      </c>
      <c r="D8" s="442">
        <f>industrie!D18</f>
        <v>70572.778491359757</v>
      </c>
      <c r="E8" s="442">
        <f>industrie!E18</f>
        <v>4179.907020428881</v>
      </c>
      <c r="F8" s="442">
        <f>industrie!F18</f>
        <v>25442.403961667958</v>
      </c>
      <c r="G8" s="442">
        <f>industrie!G18</f>
        <v>0</v>
      </c>
      <c r="H8" s="442">
        <f>industrie!H18</f>
        <v>0</v>
      </c>
      <c r="I8" s="442">
        <f>industrie!I18</f>
        <v>0</v>
      </c>
      <c r="J8" s="442">
        <f>industrie!J18</f>
        <v>407.41824482176719</v>
      </c>
      <c r="K8" s="442">
        <f>industrie!K18</f>
        <v>0</v>
      </c>
      <c r="L8" s="442">
        <f>industrie!L18</f>
        <v>0</v>
      </c>
      <c r="M8" s="442">
        <f>industrie!M18</f>
        <v>0</v>
      </c>
      <c r="N8" s="442">
        <f>industrie!N18</f>
        <v>6243.6985526062745</v>
      </c>
      <c r="O8" s="442">
        <f>industrie!O18</f>
        <v>0</v>
      </c>
      <c r="P8" s="443">
        <f>industrie!P18</f>
        <v>0</v>
      </c>
      <c r="Q8" s="441">
        <f t="shared" si="0"/>
        <v>186680.29726088466</v>
      </c>
    </row>
    <row r="9" spans="1:17" s="447" customFormat="1">
      <c r="A9" s="445" t="s">
        <v>556</v>
      </c>
      <c r="B9" s="446">
        <f>transport!B14</f>
        <v>6.1683274424489172</v>
      </c>
      <c r="C9" s="446">
        <f>transport!C14</f>
        <v>0</v>
      </c>
      <c r="D9" s="446">
        <f>transport!D14</f>
        <v>9.3461574204246833</v>
      </c>
      <c r="E9" s="446">
        <f>transport!E14</f>
        <v>90.698872612886831</v>
      </c>
      <c r="F9" s="446">
        <f>transport!F14</f>
        <v>0</v>
      </c>
      <c r="G9" s="446">
        <f>transport!G14</f>
        <v>31287.059021148412</v>
      </c>
      <c r="H9" s="446">
        <f>transport!H14</f>
        <v>5746.2049613473473</v>
      </c>
      <c r="I9" s="446">
        <f>transport!I14</f>
        <v>0</v>
      </c>
      <c r="J9" s="446">
        <f>transport!J14</f>
        <v>0</v>
      </c>
      <c r="K9" s="446">
        <f>transport!K14</f>
        <v>0</v>
      </c>
      <c r="L9" s="446">
        <f>transport!L14</f>
        <v>0</v>
      </c>
      <c r="M9" s="446">
        <f>transport!M14</f>
        <v>1989.2102732351232</v>
      </c>
      <c r="N9" s="446">
        <f>transport!N14</f>
        <v>0</v>
      </c>
      <c r="O9" s="446">
        <f>transport!O14</f>
        <v>0</v>
      </c>
      <c r="P9" s="446">
        <f>transport!P14</f>
        <v>0</v>
      </c>
      <c r="Q9" s="445">
        <f>SUM(B9:P9)</f>
        <v>39128.687613206639</v>
      </c>
    </row>
    <row r="10" spans="1:17">
      <c r="A10" s="441" t="s">
        <v>546</v>
      </c>
      <c r="B10" s="442">
        <f>transport!B54</f>
        <v>5.090970862255574</v>
      </c>
      <c r="C10" s="442">
        <f>transport!C54</f>
        <v>0</v>
      </c>
      <c r="D10" s="442">
        <f>transport!D54</f>
        <v>0</v>
      </c>
      <c r="E10" s="442">
        <f>transport!E54</f>
        <v>0</v>
      </c>
      <c r="F10" s="442">
        <f>transport!F54</f>
        <v>0</v>
      </c>
      <c r="G10" s="442">
        <f>transport!G54</f>
        <v>964.67182260100117</v>
      </c>
      <c r="H10" s="442">
        <f>transport!H54</f>
        <v>0</v>
      </c>
      <c r="I10" s="442">
        <f>transport!I54</f>
        <v>0</v>
      </c>
      <c r="J10" s="442">
        <f>transport!J54</f>
        <v>0</v>
      </c>
      <c r="K10" s="442">
        <f>transport!K54</f>
        <v>0</v>
      </c>
      <c r="L10" s="442">
        <f>transport!L54</f>
        <v>0</v>
      </c>
      <c r="M10" s="442">
        <f>transport!M54</f>
        <v>55.534262245718914</v>
      </c>
      <c r="N10" s="442">
        <f>transport!N54</f>
        <v>0</v>
      </c>
      <c r="O10" s="442">
        <f>transport!O54</f>
        <v>0</v>
      </c>
      <c r="P10" s="443">
        <f>transport!P54</f>
        <v>0</v>
      </c>
      <c r="Q10" s="441">
        <f t="shared" si="0"/>
        <v>1025.2970557089757</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656.3057</v>
      </c>
      <c r="C14" s="449"/>
      <c r="D14" s="449">
        <f>'SEAP template'!E25</f>
        <v>681.80430635769096</v>
      </c>
      <c r="E14" s="449"/>
      <c r="F14" s="449"/>
      <c r="G14" s="449"/>
      <c r="H14" s="449"/>
      <c r="I14" s="449"/>
      <c r="J14" s="449"/>
      <c r="K14" s="449"/>
      <c r="L14" s="449"/>
      <c r="M14" s="449"/>
      <c r="N14" s="449"/>
      <c r="O14" s="449"/>
      <c r="P14" s="450"/>
      <c r="Q14" s="441">
        <f t="shared" si="0"/>
        <v>1338.110006357691</v>
      </c>
    </row>
    <row r="15" spans="1:17" s="451" customFormat="1">
      <c r="A15" s="969" t="s">
        <v>550</v>
      </c>
      <c r="B15" s="909">
        <f ca="1">SUM(B4:B14)</f>
        <v>115222.64848955034</v>
      </c>
      <c r="C15" s="909">
        <f t="shared" ref="C15:Q15" ca="1" si="1">SUM(C4:C14)</f>
        <v>0</v>
      </c>
      <c r="D15" s="909">
        <f t="shared" ca="1" si="1"/>
        <v>100868.66292342372</v>
      </c>
      <c r="E15" s="909">
        <f t="shared" si="1"/>
        <v>5720.4257624217362</v>
      </c>
      <c r="F15" s="909">
        <f t="shared" ca="1" si="1"/>
        <v>68337.481221314811</v>
      </c>
      <c r="G15" s="909">
        <f t="shared" si="1"/>
        <v>32251.730843749414</v>
      </c>
      <c r="H15" s="909">
        <f t="shared" si="1"/>
        <v>5746.2049613473473</v>
      </c>
      <c r="I15" s="909">
        <f t="shared" si="1"/>
        <v>0</v>
      </c>
      <c r="J15" s="909">
        <f t="shared" si="1"/>
        <v>1348.962568954694</v>
      </c>
      <c r="K15" s="909">
        <f t="shared" si="1"/>
        <v>0</v>
      </c>
      <c r="L15" s="909">
        <f t="shared" ca="1" si="1"/>
        <v>0</v>
      </c>
      <c r="M15" s="909">
        <f t="shared" si="1"/>
        <v>2044.7445354808422</v>
      </c>
      <c r="N15" s="909">
        <f t="shared" ca="1" si="1"/>
        <v>12144.029557211226</v>
      </c>
      <c r="O15" s="909">
        <f t="shared" si="1"/>
        <v>209.48666666666668</v>
      </c>
      <c r="P15" s="909">
        <f t="shared" si="1"/>
        <v>114.4</v>
      </c>
      <c r="Q15" s="909">
        <f t="shared" ca="1" si="1"/>
        <v>344008.77753012086</v>
      </c>
    </row>
    <row r="17" spans="1:17">
      <c r="A17" s="452" t="s">
        <v>551</v>
      </c>
      <c r="B17" s="715">
        <f ca="1">huishoudens!B10</f>
        <v>0.19435213353394204</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3979.0127320370862</v>
      </c>
      <c r="C22" s="442">
        <f t="shared" ref="C22:C32" ca="1" si="3">C4*$C$17</f>
        <v>0</v>
      </c>
      <c r="D22" s="442">
        <f t="shared" ref="D22:D32" si="4">D4*$D$17</f>
        <v>4319.4208104716445</v>
      </c>
      <c r="E22" s="442">
        <f t="shared" ref="E22:E32" si="5">E4*$E$17</f>
        <v>277.07024908730875</v>
      </c>
      <c r="F22" s="442">
        <f t="shared" ref="F22:F32" si="6">F4*$F$17</f>
        <v>10280.913751446582</v>
      </c>
      <c r="G22" s="442">
        <f t="shared" ref="G22:G32" si="7">G4*$G$17</f>
        <v>0</v>
      </c>
      <c r="H22" s="442">
        <f t="shared" ref="H22:H32" si="8">H4*$H$17</f>
        <v>0</v>
      </c>
      <c r="I22" s="442">
        <f t="shared" ref="I22:I32" si="9">I4*$I$17</f>
        <v>0</v>
      </c>
      <c r="J22" s="442">
        <f t="shared" ref="J22:J32" si="10">J4*$J$17</f>
        <v>317.87147636301103</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19174.289019405631</v>
      </c>
    </row>
    <row r="23" spans="1:17">
      <c r="A23" s="441" t="s">
        <v>149</v>
      </c>
      <c r="B23" s="442">
        <f t="shared" ca="1" si="2"/>
        <v>2554.9808814866574</v>
      </c>
      <c r="C23" s="442">
        <f t="shared" ca="1" si="3"/>
        <v>0</v>
      </c>
      <c r="D23" s="442">
        <f t="shared" ca="1" si="4"/>
        <v>1633.7296664267092</v>
      </c>
      <c r="E23" s="442">
        <f t="shared" si="5"/>
        <v>49.836048266486863</v>
      </c>
      <c r="F23" s="442">
        <f t="shared" ca="1" si="6"/>
        <v>780.14548535575216</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5018.6920815356052</v>
      </c>
    </row>
    <row r="24" spans="1:17">
      <c r="A24" s="441" t="s">
        <v>187</v>
      </c>
      <c r="B24" s="442">
        <f t="shared" ca="1" si="2"/>
        <v>126.15358117261471</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126.15358117261471</v>
      </c>
    </row>
    <row r="25" spans="1:17">
      <c r="A25" s="441" t="s">
        <v>105</v>
      </c>
      <c r="B25" s="442">
        <f t="shared" ca="1" si="2"/>
        <v>87.951776336737794</v>
      </c>
      <c r="C25" s="442">
        <f t="shared" ca="1" si="3"/>
        <v>0</v>
      </c>
      <c r="D25" s="442">
        <f t="shared" si="4"/>
        <v>27.005784695388723</v>
      </c>
      <c r="E25" s="442">
        <f t="shared" si="5"/>
        <v>2.2028129954571649</v>
      </c>
      <c r="F25" s="442">
        <f t="shared" si="6"/>
        <v>391.92639152337682</v>
      </c>
      <c r="G25" s="442">
        <f t="shared" si="7"/>
        <v>0</v>
      </c>
      <c r="H25" s="442">
        <f t="shared" si="8"/>
        <v>0</v>
      </c>
      <c r="I25" s="442">
        <f t="shared" si="9"/>
        <v>0</v>
      </c>
      <c r="J25" s="442">
        <f t="shared" si="10"/>
        <v>15.435214380045066</v>
      </c>
      <c r="K25" s="442">
        <f t="shared" si="11"/>
        <v>0</v>
      </c>
      <c r="L25" s="442">
        <f t="shared" si="12"/>
        <v>0</v>
      </c>
      <c r="M25" s="442">
        <f t="shared" si="13"/>
        <v>0</v>
      </c>
      <c r="N25" s="442">
        <f t="shared" si="14"/>
        <v>0</v>
      </c>
      <c r="O25" s="442">
        <f t="shared" si="15"/>
        <v>0</v>
      </c>
      <c r="P25" s="443">
        <f t="shared" si="16"/>
        <v>0</v>
      </c>
      <c r="Q25" s="441">
        <f t="shared" ca="1" si="17"/>
        <v>524.5219799310056</v>
      </c>
    </row>
    <row r="26" spans="1:17">
      <c r="A26" s="441" t="s">
        <v>612</v>
      </c>
      <c r="B26" s="442">
        <f t="shared" ca="1" si="2"/>
        <v>15515.925912649358</v>
      </c>
      <c r="C26" s="442">
        <f t="shared" ca="1" si="3"/>
        <v>0</v>
      </c>
      <c r="D26" s="442">
        <f t="shared" si="4"/>
        <v>14255.701255254671</v>
      </c>
      <c r="E26" s="442">
        <f t="shared" si="5"/>
        <v>948.83889363735602</v>
      </c>
      <c r="F26" s="442">
        <f t="shared" si="6"/>
        <v>6793.1218577653453</v>
      </c>
      <c r="G26" s="442">
        <f t="shared" si="7"/>
        <v>0</v>
      </c>
      <c r="H26" s="442">
        <f t="shared" si="8"/>
        <v>0</v>
      </c>
      <c r="I26" s="442">
        <f t="shared" si="9"/>
        <v>0</v>
      </c>
      <c r="J26" s="442">
        <f t="shared" si="10"/>
        <v>144.22605866690557</v>
      </c>
      <c r="K26" s="442">
        <f t="shared" si="11"/>
        <v>0</v>
      </c>
      <c r="L26" s="442">
        <f t="shared" si="12"/>
        <v>0</v>
      </c>
      <c r="M26" s="442">
        <f t="shared" si="13"/>
        <v>0</v>
      </c>
      <c r="N26" s="442">
        <f t="shared" si="14"/>
        <v>0</v>
      </c>
      <c r="O26" s="442">
        <f t="shared" si="15"/>
        <v>0</v>
      </c>
      <c r="P26" s="443">
        <f t="shared" si="16"/>
        <v>0</v>
      </c>
      <c r="Q26" s="441">
        <f t="shared" ca="1" si="17"/>
        <v>37657.813977973638</v>
      </c>
    </row>
    <row r="27" spans="1:17" s="447" customFormat="1">
      <c r="A27" s="445" t="s">
        <v>556</v>
      </c>
      <c r="B27" s="709">
        <f t="shared" ca="1" si="2"/>
        <v>1.1988275987759112</v>
      </c>
      <c r="C27" s="446">
        <f t="shared" ca="1" si="3"/>
        <v>0</v>
      </c>
      <c r="D27" s="446">
        <f t="shared" si="4"/>
        <v>1.8879237989257862</v>
      </c>
      <c r="E27" s="446">
        <f t="shared" si="5"/>
        <v>20.58864408312531</v>
      </c>
      <c r="F27" s="446">
        <f t="shared" si="6"/>
        <v>0</v>
      </c>
      <c r="G27" s="446">
        <f t="shared" si="7"/>
        <v>8353.6447586466275</v>
      </c>
      <c r="H27" s="446">
        <f t="shared" si="8"/>
        <v>1430.8050353754895</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9808.1251895029436</v>
      </c>
    </row>
    <row r="28" spans="1:17">
      <c r="A28" s="441" t="s">
        <v>546</v>
      </c>
      <c r="B28" s="442">
        <f t="shared" ca="1" si="2"/>
        <v>0.98944104883850337</v>
      </c>
      <c r="C28" s="442">
        <f t="shared" ca="1" si="3"/>
        <v>0</v>
      </c>
      <c r="D28" s="442">
        <f t="shared" si="4"/>
        <v>0</v>
      </c>
      <c r="E28" s="442">
        <f t="shared" si="5"/>
        <v>0</v>
      </c>
      <c r="F28" s="442">
        <f t="shared" si="6"/>
        <v>0</v>
      </c>
      <c r="G28" s="442">
        <f t="shared" si="7"/>
        <v>257.56737663446734</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258.55681768330584</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127.55441304548731</v>
      </c>
      <c r="C32" s="442">
        <f t="shared" ca="1" si="3"/>
        <v>0</v>
      </c>
      <c r="D32" s="442">
        <f t="shared" si="4"/>
        <v>137.72446988425358</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265.27888292974092</v>
      </c>
    </row>
    <row r="33" spans="1:17" s="451" customFormat="1">
      <c r="A33" s="969" t="s">
        <v>550</v>
      </c>
      <c r="B33" s="909">
        <f ca="1">SUM(B22:B32)</f>
        <v>22393.767565375554</v>
      </c>
      <c r="C33" s="909">
        <f t="shared" ref="C33:Q33" ca="1" si="18">SUM(C22:C32)</f>
        <v>0</v>
      </c>
      <c r="D33" s="909">
        <f t="shared" ca="1" si="18"/>
        <v>20375.469910531592</v>
      </c>
      <c r="E33" s="909">
        <f t="shared" si="18"/>
        <v>1298.5366480697342</v>
      </c>
      <c r="F33" s="909">
        <f t="shared" ca="1" si="18"/>
        <v>18246.107486091056</v>
      </c>
      <c r="G33" s="909">
        <f t="shared" si="18"/>
        <v>8611.2121352810955</v>
      </c>
      <c r="H33" s="909">
        <f t="shared" si="18"/>
        <v>1430.8050353754895</v>
      </c>
      <c r="I33" s="909">
        <f t="shared" si="18"/>
        <v>0</v>
      </c>
      <c r="J33" s="909">
        <f t="shared" si="18"/>
        <v>477.53274940996164</v>
      </c>
      <c r="K33" s="909">
        <f t="shared" si="18"/>
        <v>0</v>
      </c>
      <c r="L33" s="909">
        <f t="shared" ca="1" si="18"/>
        <v>0</v>
      </c>
      <c r="M33" s="909">
        <f t="shared" si="18"/>
        <v>0</v>
      </c>
      <c r="N33" s="909">
        <f t="shared" ca="1" si="18"/>
        <v>0</v>
      </c>
      <c r="O33" s="909">
        <f t="shared" si="18"/>
        <v>0</v>
      </c>
      <c r="P33" s="909">
        <f t="shared" si="18"/>
        <v>0</v>
      </c>
      <c r="Q33" s="909">
        <f t="shared" ca="1" si="18"/>
        <v>72833.431530134476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12088.39033298098</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1804.993154870029</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13893.38348785101</v>
      </c>
      <c r="C10" s="990">
        <f>SUM(C4:C9)</f>
        <v>0</v>
      </c>
      <c r="D10" s="990">
        <f t="shared" ref="D10:H10" si="0">SUM(D8:D9)</f>
        <v>0</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0.19435213353394204</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0</v>
      </c>
      <c r="D20" s="990">
        <f t="shared" ref="D20:H20" si="2">SUM(D17:D19)</f>
        <v>0</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0.19435213353394204</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2022-07-26T11:36:25Z</dcterms:modified>
</cp:coreProperties>
</file>