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EE111826-71FC-4BEC-B3D3-7629D83C02E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<sst xmlns="http://schemas.openxmlformats.org/spreadsheetml/2006/main" count="2441" uniqueCount="908">
  <si>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</si>
  <si>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</si>
  <si>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</si>
  <si>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</si>
  <si>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</si>
  <si>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</si>
  <si>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</si>
  <si>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</si>
  <si>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</si>
  <si>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</si>
  <si>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</si>
  <si>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</si>
  <si>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</si>
  <si>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</si>
  <si>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</si>
  <si>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</si>
  <si>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</si>
  <si>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</si>
  <si>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</si>
  <si>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</si>
  <si>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</si>
  <si>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</si>
  <si>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</si>
  <si>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</si>
  <si>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</si>
  <si>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</si>
  <si>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</si>
  <si>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</si>
  <si>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</si>
  <si>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</si>
  <si>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</si>
  <si>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</si>
  <si>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</si>
  <si>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</si>
  <si>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</si>
  <si>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</si>
  <si>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</si>
  <si>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</si>
  <si>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</si>
  <si>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</si>
  <si>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</si>
  <si>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</si>
  <si>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</si>
  <si>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</si>
  <si>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</si>
  <si>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</si>
  <si>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</si>
  <si>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</si>
  <si>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</si>
  <si>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</si>
  <si>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</si>
  <si>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</si>
  <si>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</si>
  <si>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</si>
  <si>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</si>
  <si>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</si>
  <si>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</si>
  <si>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</si>
  <si>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</si>
  <si>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</si>
  <si>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</si>
  <si>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</si>
  <si>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</si>
  <si>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</si>
  <si>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</si>
  <si>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</si>
  <si>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</si>
  <si>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</si>
  <si>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</si>
  <si>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</si>
  <si>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</si>
  <si>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</si>
  <si>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</si>
  <si>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</si>
  <si>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</si>
  <si>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</si>
  <si>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</si>
  <si>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</si>
  <si>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</si>
  <si>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</si>
  <si>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</si>
  <si>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</si>
  <si>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</si>
  <si>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</si>
  <si>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</si>
  <si>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</si>
  <si>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</si>
  <si>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</si>
  <si>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</si>
  <si>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</si>
  <si>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</si>
  <si>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</si>
  <si>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</si>
  <si>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</si>
  <si>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</si>
  <si>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</si>
  <si>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</si>
  <si>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</si>
  <si>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</si>
  <si>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</si>
  <si>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</si>
  <si>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</si>
  <si>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</si>
  <si>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</si>
  <si>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</si>
  <si>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</si>
  <si>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</si>
  <si>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</si>
  <si>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</si>
  <si>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</si>
  <si>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</si>
  <si>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</si>
  <si>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</si>
  <si>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</si>
  <si>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</si>
  <si>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</si>
  <si>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</si>
  <si>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</si>
  <si>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</si>
  <si>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</si>
  <si>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</si>
  <si>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</si>
  <si>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</si>
  <si>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</si>
  <si>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</si>
  <si>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</si>
  <si>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</si>
  <si>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</si>
  <si>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</si>
  <si>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</si>
  <si>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</si>
  <si>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</si>
  <si>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</si>
  <si>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</si>
  <si>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</si>
  <si>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</si>
  <si>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</si>
  <si>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</si>
  <si>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</si>
  <si>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</si>
  <si>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</si>
  <si>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</si>
  <si>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</si>
  <si>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</si>
  <si>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</si>
  <si>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</si>
  <si>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</si>
  <si>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</si>
  <si>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</si>
  <si>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</si>
  <si>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</si>
  <si>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</si>
  <si>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</si>
  <si>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</si>
  <si>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</si>
  <si>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</si>
  <si>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</si>
  <si>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</si>
  <si>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</si>
  <si>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</si>
  <si>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</si>
  <si>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</si>
  <si>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</si>
  <si>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</si>
  <si>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</si>
  <si>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</si>
  <si>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</si>
  <si>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</si>
  <si>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</si>
  <si>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</si>
  <si>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</si>
  <si>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</si>
  <si>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</si>
  <si>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</si>
  <si>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</si>
  <si>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</si>
  <si>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</si>
  <si>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</si>
  <si>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</si>
  <si>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</si>
  <si>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</si>
  <si>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</si>
  <si>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</si>
  <si>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</si>
  <si>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</si>
  <si>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</si>
  <si>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</si>
  <si>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</si>
  <si>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</si>
  <si>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</si>
  <si>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</si>
  <si>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</si>
  <si>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</si>
  <si>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</si>
  <si>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</si>
  <si>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</si>
  <si>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</si>
  <si>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</si>
  <si>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</si>
  <si>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</si>
  <si>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</si>
  <si>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</si>
  <si>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</si>
  <si>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</si>
  <si>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</si>
  <si>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</si>
  <si>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</si>
  <si>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</si>
  <si>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</si>
  <si>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</si>
  <si>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</si>
  <si>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</si>
  <si>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</si>
  <si>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</si>
  <si>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</si>
  <si>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</si>
  <si>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</si>
  <si>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</si>
  <si>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</si>
  <si>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</si>
  <si>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</si>
  <si>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</si>
  <si>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</si>
  <si>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</si>
  <si>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</si>
  <si>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</si>
  <si>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</si>
  <si>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</si>
  <si>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</si>
  <si>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</si>
  <si>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</si>
  <si>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</si>
  <si>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</si>
  <si>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</si>
  <si>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</si>
  <si>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</si>
  <si>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</si>
  <si>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</si>
  <si>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</si>
  <si>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</si>
  <si>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</si>
  <si>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</si>
  <si>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</si>
  <si>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</si>
  <si>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</si>
  <si>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</si>
  <si>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</si>
  <si>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</si>
  <si>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</si>
  <si>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</si>
  <si>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</si>
  <si>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</si>
  <si>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</si>
  <si>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</si>
  <si>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</si>
  <si>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</si>
  <si>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</si>
  <si>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</si>
  <si>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</si>
  <si>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</si>
  <si>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</si>
  <si>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</si>
  <si>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</si>
  <si>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</si>
  <si>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</si>
  <si>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</si>
  <si>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</si>
  <si>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</si>
  <si>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</si>
  <si>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</si>
  <si>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</si>
  <si>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</si>
  <si>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</si>
  <si>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</si>
  <si>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</si>
  <si>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</si>
  <si>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</si>
  <si>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</si>
  <si>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</si>
  <si>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</si>
  <si>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</si>
  <si>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</si>
  <si>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</si>
  <si>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</si>
  <si>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</si>
  <si>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</si>
  <si>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</si>
  <si>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</si>
  <si>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</si>
  <si>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</si>
  <si>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</si>
  <si>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</si>
  <si>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</si>
  <si>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</si>
  <si>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</si>
  <si>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</si>
  <si>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</si>
  <si>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</si>
  <si>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</si>
  <si>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</si>
  <si>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</si>
  <si>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</si>
  <si>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</si>
  <si>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</si>
  <si>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</si>
  <si>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</si>
  <si>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</si>
  <si>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</si>
  <si>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</si>
  <si>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</si>
  <si>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</si>
  <si>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</si>
  <si>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</si>
  <si>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</si>
  <si>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</si>
  <si>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</si>
  <si>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</si>
  <si>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</si>
  <si>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</si>
  <si>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</si>
  <si>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</si>
  <si>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</si>
  <si>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</si>
  <si>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</si>
  <si>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</si>
  <si>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</si>
  <si>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</si>
  <si>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</si>
  <si>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</si>
  <si>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</si>
  <si>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</si>
  <si>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</si>
  <si>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</si>
  <si>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</si>
  <si>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</si>
  <si>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</si>
  <si>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</si>
  <si>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</si>
  <si>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</si>
  <si>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</si>
  <si>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</si>
  <si>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</si>
  <si>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</si>
  <si>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</si>
  <si>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</si>
  <si>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</si>
  <si>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</si>
  <si>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</si>
  <si>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</si>
  <si>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</si>
  <si>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</si>
  <si>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</si>
  <si>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</si>
  <si>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</si>
  <si>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</si>
  <si>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</si>
  <si>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</si>
  <si>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</si>
  <si>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</si>
  <si>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</si>
  <si>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</si>
  <si>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</si>
  <si>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</si>
  <si>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</si>
  <si>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</si>
  <si>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</si>
  <si>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</si>
  <si>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</si>
  <si>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</si>
  <si>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</si>
  <si>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</si>
  <si>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</si>
  <si>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</si>
  <si>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</si>
  <si>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</si>
  <si>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</si>
  <si>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</si>
  <si>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</si>
  <si>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</si>
  <si>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</si>
  <si>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</si>
  <si>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</si>
  <si>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</si>
  <si>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</si>
  <si>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</si>
  <si>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</si>
  <si>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</si>
  <si>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</si>
  <si>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</si>
  <si>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</si>
  <si>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</si>
  <si>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</si>
  <si>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</si>
  <si>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</si>
  <si>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</si>
  <si>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</si>
  <si>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</si>
  <si>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</si>
  <si>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</si>
  <si>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</si>
  <si>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</si>
  <si>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</si>
  <si>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</si>
  <si>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</si>
  <si>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</si>
  <si>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</si>
  <si>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</si>
  <si>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</si>
  <si>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</si>
  <si>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</si>
  <si>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</si>
  <si>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</si>
  <si>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</si>
  <si>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</si>
  <si>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</si>
  <si>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</si>
  <si>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</si>
  <si>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</si>
  <si>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</si>
  <si>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</si>
  <si>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</si>
  <si>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</si>
  <si>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</si>
  <si>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</si>
  <si>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</si>
  <si>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</si>
  <si>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</si>
  <si>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</si>
  <si>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</si>
  <si>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</si>
  <si>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</si>
  <si>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</si>
  <si>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</si>
  <si>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</si>
  <si>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</si>
  <si>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</si>
  <si>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</si>
  <si>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</si>
  <si>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</si>
  <si>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</si>
  <si>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</si>
  <si>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</si>
  <si>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</si>
  <si>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</si>
  <si>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</si>
  <si>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</si>
  <si>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</si>
  <si>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</si>
  <si>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</si>
  <si>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</si>
  <si>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</si>
  <si>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</si>
  <si>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</si>
  <si>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</si>
  <si>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</si>
  <si>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</si>
  <si>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</si>
  <si>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</si>
  <si>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</si>
  <si>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</si>
  <si>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</si>
  <si>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</si>
  <si>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</si>
  <si>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</si>
  <si>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</si>
  <si>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</si>
  <si>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</si>
  <si>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</si>
  <si>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</si>
  <si>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</si>
  <si>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</si>
  <si>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</si>
  <si>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</si>
  <si>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</si>
  <si>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</si>
  <si>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</si>
  <si>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</si>
  <si>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</si>
  <si>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</si>
  <si>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</si>
  <si>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</si>
  <si>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</si>
  <si>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</si>
  <si>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</si>
  <si>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</si>
  <si>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</si>
  <si>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</si>
  <si>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</si>
  <si>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</si>
  <si>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</si>
  <si>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</si>
  <si>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</si>
  <si>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</si>
  <si>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</si>
  <si>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</si>
  <si>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</si>
  <si>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</si>
  <si>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</si>
  <si>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</si>
  <si>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</si>
  <si>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</si>
  <si>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</si>
  <si>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</si>
  <si>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</si>
  <si>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</si>
  <si>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</si>
  <si>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</si>
  <si>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</si>
  <si>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</si>
  <si>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</si>
  <si>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</si>
  <si>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</si>
  <si>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</si>
  <si>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</si>
  <si>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</si>
  <si>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</si>
  <si>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</si>
  <si>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</si>
  <si>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</si>
  <si>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</si>
  <si>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</si>
  <si>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</si>
  <si>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</si>
  <si>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</si>
  <si>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</si>
  <si>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</si>
  <si>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</si>
  <si>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</si>
  <si>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</si>
  <si>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</si>
  <si>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</si>
  <si>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</si>
  <si>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</si>
  <si>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</si>
  <si>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</si>
  <si>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</si>
  <si>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</si>
  <si>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</si>
  <si>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</si>
  <si>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</si>
  <si>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</si>
  <si>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</si>
  <si>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</si>
  <si>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</si>
  <si>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</si>
  <si>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</si>
  <si>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</si>
  <si>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</si>
  <si>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</si>
  <si>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</si>
  <si>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</si>
  <si>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</si>
  <si>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</si>
  <si>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</si>
  <si>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</si>
  <si>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</si>
  <si>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</si>
  <si>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</si>
  <si>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</si>
  <si>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</si>
  <si>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</si>
  <si>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</si>
  <si>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</si>
  <si>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</si>
  <si>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</si>
  <si>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</si>
  <si>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</si>
  <si>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</si>
  <si>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</si>
  <si>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</si>
  <si>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</si>
  <si>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</si>
  <si>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</si>
  <si>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</si>
  <si>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</si>
  <si>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</si>
  <si>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</si>
  <si>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</si>
  <si>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</si>
  <si>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</si>
  <si>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</si>
  <si>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</si>
  <si>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</si>
  <si>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</si>
  <si>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</si>
  <si>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</si>
  <si>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</si>
  <si>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</si>
  <si>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</si>
  <si>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</si>
  <si>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</si>
  <si>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</si>
  <si>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</si>
  <si>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</si>
  <si>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</si>
  <si>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</si>
  <si>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</si>
  <si>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</si>
  <si>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</si>
  <si>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</si>
  <si>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</si>
  <si>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</si>
  <si>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</si>
  <si>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</si>
  <si>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</si>
  <si>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</si>
  <si>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</si>
  <si>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</si>
  <si>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</si>
  <si>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</si>
  <si>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</si>
  <si>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</si>
  <si>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</si>
  <si>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</si>
  <si>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</si>
  <si>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</si>
  <si>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</si>
  <si>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</si>
  <si>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</si>
  <si>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</si>
  <si>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</si>
  <si>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</si>
  <si>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</si>
  <si>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</si>
  <si>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</si>
  <si>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</si>
  <si>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</si>
  <si>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</si>
  <si>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</si>
  <si>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</si>
  <si>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</si>
  <si>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</si>
  <si>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</si>
  <si>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</si>
  <si>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</si>
  <si>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</si>
  <si>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</si>
  <si>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</si>
  <si>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</si>
  <si>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</si>
  <si>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</si>
  <si>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</si>
  <si>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</si>
  <si>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</si>
  <si>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</si>
  <si>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</si>
  <si>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</si>
  <si>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</si>
  <si>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</si>
  <si>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</si>
  <si>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</si>
  <si>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</si>
  <si>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</si>
  <si>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</si>
  <si>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</si>
  <si>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</si>
  <si>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</si>
  <si>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</si>
  <si>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</si>
  <si>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</si>
  <si>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</si>
  <si>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</si>
  <si>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</si>
  <si>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</si>
  <si>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</si>
  <si>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</si>
  <si>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</si>
  <si>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</si>
  <si>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</si>
  <si>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</si>
  <si>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</si>
  <si>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</si>
  <si>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</si>
  <si>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</si>
  <si>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</si>
  <si>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</si>
  <si>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</si>
  <si>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</si>
  <si>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</si>
  <si>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</si>
  <si>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</si>
  <si>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</si>
  <si>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</si>
  <si>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</si>
  <si>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</si>
  <si>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</si>
  <si>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</si>
  <si>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</si>
  <si>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</si>
  <si>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</si>
  <si>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</si>
  <si>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</si>
  <si>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</si>
  <si>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</si>
  <si>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</si>
  <si>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</si>
  <si>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</si>
  <si>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</si>
  <si>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</si>
  <si>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</si>
  <si>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</si>
  <si>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</si>
  <si>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</si>
  <si>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</si>
  <si>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</si>
  <si>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</si>
  <si>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</si>
  <si>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</si>
  <si>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</si>
  <si>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</si>
  <si>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</si>
  <si>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</si>
  <si>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</si>
  <si>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</si>
  <si>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</si>
  <si>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</si>
  <si>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</si>
  <si>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</si>
  <si>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</si>
  <si>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</si>
  <si>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</si>
  <si>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</si>
  <si>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</si>
  <si>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</si>
  <si>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</si>
  <si>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</si>
  <si>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</si>
  <si>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</si>
  <si>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</si>
  <si>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</si>
  <si>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</si>
  <si>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</si>
  <si>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</si>
  <si>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</si>
  <si>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</si>
  <si>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</si>
  <si>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</si>
  <si>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</si>
  <si>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</si>
  <si>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</si>
  <si>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</si>
  <si>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</si>
  <si>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</si>
  <si>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</si>
  <si>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</si>
  <si>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</si>
  <si>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</si>
  <si>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</si>
  <si>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</si>
  <si>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</si>
  <si>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</si>
  <si>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</si>
  <si>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</si>
  <si>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</si>
  <si>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</si>
  <si>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</si>
  <si>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</si>
  <si>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</si>
  <si>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</si>
  <si>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</si>
  <si>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</si>
  <si>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</si>
  <si>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</si>
  <si>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</si>
  <si>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</si>
  <si>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</si>
  <si>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</si>
  <si>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</si>
  <si>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</si>
  <si>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</si>
  <si>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</si>
  <si>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</si>
  <si>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</si>
  <si>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</si>
  <si>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</si>
  <si>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</si>
  <si>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</si>
  <si>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</si>
  <si>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</si>
  <si>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</si>
  <si>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</si>
  <si>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</si>
  <si>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</si>
  <si>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</si>
  <si>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</si>
  <si>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</si>
  <si>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</si>
  <si>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</si>
  <si>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</si>
  <si>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</si>
  <si>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</si>
  <si>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</si>
  <si>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</si>
  <si>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</si>
  <si>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</si>
  <si>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</si>
  <si>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</si>
  <si>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</si>
  <si>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</si>
  <si>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</si>
  <si>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</si>
  <si>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</si>
  <si>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</si>
  <si>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</si>
  <si>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</si>
  <si>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</si>
  <si>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</si>
  <si>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</si>
  <si>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</si>
  <si>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</si>
  <si>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</si>
  <si>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</si>
  <si>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</si>
  <si>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</si>
  <si>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</si>
  <si>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</si>
  <si>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</si>
  <si>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</si>
  <si>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</si>
  <si>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</si>
  <si>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</si>
  <si>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</si>
  <si>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</si>
  <si>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</si>
  <si>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</si>
  <si>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</si>
  <si>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</si>
  <si>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</si>
  <si>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</si>
  <si>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</si>
  <si>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</si>
  <si>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</si>
  <si>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</si>
  <si>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</si>
  <si>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</si>
  <si>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</si>
  <si>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</si>
  <si>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</si>
  <si>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</si>
  <si>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</si>
  <si>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</si>
  <si>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</si>
  <si>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</si>
  <si>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</si>
  <si>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</si>
  <si>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</si>
  <si>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</si>
  <si>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</si>
  <si>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</si>
  <si>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</si>
  <si>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</si>
  <si>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</si>
  <si>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</si>
  <si>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</si>
  <si>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</si>
  <si>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</si>
  <si>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</si>
  <si>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</si>
  <si>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</si>
  <si>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</si>
  <si>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</si>
  <si>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</si>
  <si>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</si>
  <si>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</si>
  <si>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</si>
  <si>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</si>
  <si>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</si>
  <si>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</si>
  <si>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</si>
  <si>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</si>
  <si>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</si>
  <si>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</si>
  <si>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</si>
  <si>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</si>
  <si>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</si>
  <si>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</si>
  <si>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</si>
  <si>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</si>
  <si>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</si>
  <si>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</si>
  <si>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</si>
  <si>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</si>
  <si>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</si>
  <si>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</si>
  <si>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</si>
  <si>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</si>
  <si>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</si>
  <si>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</si>
  <si>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</si>
  <si>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</si>
  <si>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</si>
  <si>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</si>
  <si>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</si>
  <si>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</si>
  <si>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</si>
  <si>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</si>
  <si>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</si>
  <si>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</si>
  <si>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</si>
  <si>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31005</t>
  </si>
  <si>
    <t>BRUGGE</t>
  </si>
  <si>
    <t>Paarden&amp;pony's 200 - 600 kg</t>
  </si>
  <si>
    <t>Paarden&amp;pony's &lt; 200 kg</t>
  </si>
  <si>
    <t>vloeibaar gas (MWh)</t>
  </si>
  <si>
    <t>interne verbrandingsmotor</t>
  </si>
  <si>
    <t>WKK interne verbrandinsgmotor (gas)</t>
  </si>
  <si>
    <t>IMEWO</t>
  </si>
  <si>
    <t>stirlingmotor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</si>
</sst>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1BBADED-9943-42E1-B9D6-929BCEA144DE}"/>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999873.79394056695</c:v>
                </c:pt>
                <c:pt idx="1">
                  <c:v>729871.34989768325</c:v>
                </c:pt>
                <c:pt idx="2">
                  <c:v>8236.8320000000003</c:v>
                </c:pt>
                <c:pt idx="3">
                  <c:v>46473.580818572758</c:v>
                </c:pt>
                <c:pt idx="4">
                  <c:v>361529.03889008466</c:v>
                </c:pt>
                <c:pt idx="5">
                  <c:v>753028.90283709008</c:v>
                </c:pt>
                <c:pt idx="6">
                  <c:v>24027.030355787123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999873.79394056695</c:v>
                </c:pt>
                <c:pt idx="1">
                  <c:v>729871.34989768325</c:v>
                </c:pt>
                <c:pt idx="2">
                  <c:v>8236.8320000000003</c:v>
                </c:pt>
                <c:pt idx="3">
                  <c:v>46473.580818572758</c:v>
                </c:pt>
                <c:pt idx="4">
                  <c:v>361529.03889008466</c:v>
                </c:pt>
                <c:pt idx="5">
                  <c:v>753028.90283709008</c:v>
                </c:pt>
                <c:pt idx="6">
                  <c:v>24027.030355787123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199907.67576661918</c:v>
                </c:pt>
                <c:pt idx="2">
                  <c:v>144904.62358560952</c:v>
                </c:pt>
                <c:pt idx="3">
                  <c:v>1568.2157181271134</c:v>
                </c:pt>
                <c:pt idx="4">
                  <c:v>11020.22828445792</c:v>
                </c:pt>
                <c:pt idx="5">
                  <c:v>73092.586796772273</c:v>
                </c:pt>
                <c:pt idx="6">
                  <c:v>188755.84353947447</c:v>
                </c:pt>
                <c:pt idx="7">
                  <c:v>6008.0238236945579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199907.67576661918</c:v>
                </c:pt>
                <c:pt idx="2">
                  <c:v>144904.62358560952</c:v>
                </c:pt>
                <c:pt idx="3">
                  <c:v>1568.2157181271134</c:v>
                </c:pt>
                <c:pt idx="4">
                  <c:v>11020.22828445792</c:v>
                </c:pt>
                <c:pt idx="5">
                  <c:v>73092.586796772273</c:v>
                </c:pt>
                <c:pt idx="6">
                  <c:v>188755.84353947447</c:v>
                </c:pt>
                <c:pt idx="7">
                  <c:v>6008.0238236945579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31005</v>
      </c>
      <c r="B6" s="381"/>
      <c r="C6" s="382"/>
    </row>
    <row r="7" spans="1:7" s="379" customFormat="1" ht="15.75" customHeight="1">
      <c r="A7" s="383" t="str">
        <f>txtMunicipality</f>
        <v>BRUGGE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0.19039064025187272</v>
      </c>
      <c r="C17" s="489">
        <f ca="1">'EF ele_warmte'!B22</f>
        <v>0.23355473554735551</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0.19039064025187272</v>
      </c>
      <c r="C29" s="490">
        <f ca="1">'EF ele_warmte'!B22</f>
        <v>0.23355473554735551</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53006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4533</v>
      </c>
      <c r="C14" s="322"/>
      <c r="D14" s="322"/>
      <c r="E14" s="322"/>
      <c r="F14" s="322"/>
    </row>
    <row r="15" spans="1:6">
      <c r="A15" s="1261" t="s">
        <v>177</v>
      </c>
      <c r="B15" s="1262">
        <v>824</v>
      </c>
      <c r="C15" s="322"/>
      <c r="D15" s="322"/>
      <c r="E15" s="322"/>
      <c r="F15" s="322"/>
    </row>
    <row r="16" spans="1:6">
      <c r="A16" s="1261" t="s">
        <v>6</v>
      </c>
      <c r="B16" s="1262">
        <v>1342</v>
      </c>
      <c r="C16" s="322"/>
      <c r="D16" s="322"/>
      <c r="E16" s="322"/>
      <c r="F16" s="322"/>
    </row>
    <row r="17" spans="1:6">
      <c r="A17" s="1261" t="s">
        <v>7</v>
      </c>
      <c r="B17" s="1262">
        <v>1321</v>
      </c>
      <c r="C17" s="322"/>
      <c r="D17" s="322"/>
      <c r="E17" s="322"/>
      <c r="F17" s="322"/>
    </row>
    <row r="18" spans="1:6">
      <c r="A18" s="1261" t="s">
        <v>8</v>
      </c>
      <c r="B18" s="1262">
        <v>1877</v>
      </c>
      <c r="C18" s="322"/>
      <c r="D18" s="322"/>
      <c r="E18" s="322"/>
      <c r="F18" s="322"/>
    </row>
    <row r="19" spans="1:6">
      <c r="A19" s="1261" t="s">
        <v>9</v>
      </c>
      <c r="B19" s="1262">
        <v>1629</v>
      </c>
      <c r="C19" s="322"/>
      <c r="D19" s="322"/>
      <c r="E19" s="322"/>
      <c r="F19" s="322"/>
    </row>
    <row r="20" spans="1:6">
      <c r="A20" s="1261" t="s">
        <v>10</v>
      </c>
      <c r="B20" s="1262">
        <v>1751</v>
      </c>
      <c r="C20" s="322"/>
      <c r="D20" s="322"/>
      <c r="E20" s="322"/>
      <c r="F20" s="322"/>
    </row>
    <row r="21" spans="1:6">
      <c r="A21" s="1261" t="s">
        <v>11</v>
      </c>
      <c r="B21" s="1262">
        <v>4627</v>
      </c>
      <c r="C21" s="322"/>
      <c r="D21" s="322"/>
      <c r="E21" s="322"/>
      <c r="F21" s="322"/>
    </row>
    <row r="22" spans="1:6">
      <c r="A22" s="1261" t="s">
        <v>12</v>
      </c>
      <c r="B22" s="1262">
        <v>14914</v>
      </c>
      <c r="C22" s="322"/>
      <c r="D22" s="322"/>
      <c r="E22" s="322"/>
      <c r="F22" s="322"/>
    </row>
    <row r="23" spans="1:6">
      <c r="A23" s="1261" t="s">
        <v>13</v>
      </c>
      <c r="B23" s="1262">
        <v>285</v>
      </c>
      <c r="C23" s="322"/>
      <c r="D23" s="322"/>
      <c r="E23" s="322"/>
      <c r="F23" s="322"/>
    </row>
    <row r="24" spans="1:6">
      <c r="A24" s="1261" t="s">
        <v>14</v>
      </c>
      <c r="B24" s="1262">
        <v>10</v>
      </c>
      <c r="C24" s="322"/>
      <c r="D24" s="322"/>
      <c r="E24" s="322"/>
      <c r="F24" s="322"/>
    </row>
    <row r="25" spans="1:6">
      <c r="A25" s="1261" t="s">
        <v>15</v>
      </c>
      <c r="B25" s="1262">
        <v>1079</v>
      </c>
      <c r="C25" s="322"/>
      <c r="D25" s="322"/>
      <c r="E25" s="322"/>
      <c r="F25" s="322"/>
    </row>
    <row r="26" spans="1:6">
      <c r="A26" s="1261" t="s">
        <v>16</v>
      </c>
      <c r="B26" s="1262">
        <v>817</v>
      </c>
      <c r="C26" s="322"/>
      <c r="D26" s="322"/>
      <c r="E26" s="322"/>
      <c r="F26" s="322"/>
    </row>
    <row r="27" spans="1:6">
      <c r="A27" s="1261" t="s">
        <v>17</v>
      </c>
      <c r="B27" s="1262">
        <v>172</v>
      </c>
      <c r="C27" s="322"/>
      <c r="D27" s="322"/>
      <c r="E27" s="322"/>
      <c r="F27" s="322"/>
    </row>
    <row r="28" spans="1:6">
      <c r="A28" s="1261" t="s">
        <v>18</v>
      </c>
      <c r="B28" s="1263">
        <v>174192</v>
      </c>
      <c r="C28" s="322"/>
      <c r="D28" s="322"/>
      <c r="E28" s="322"/>
      <c r="F28" s="322"/>
    </row>
    <row r="29" spans="1:6">
      <c r="A29" s="1261" t="s">
        <v>901</v>
      </c>
      <c r="B29" s="1263">
        <v>376</v>
      </c>
      <c r="C29" s="322"/>
      <c r="D29" s="322"/>
      <c r="E29" s="322"/>
      <c r="F29" s="322"/>
    </row>
    <row r="30" spans="1:6">
      <c r="A30" s="1256" t="s">
        <v>902</v>
      </c>
      <c r="B30" s="1264">
        <v>77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10</v>
      </c>
      <c r="F35" s="1262">
        <v>1312359</v>
      </c>
    </row>
    <row r="36" spans="1:6">
      <c r="A36" s="1261" t="s">
        <v>24</v>
      </c>
      <c r="B36" s="1261" t="s">
        <v>26</v>
      </c>
      <c r="C36" s="1262">
        <v>8</v>
      </c>
      <c r="D36" s="1262">
        <v>1403570.21416655</v>
      </c>
      <c r="E36" s="1262">
        <v>21</v>
      </c>
      <c r="F36" s="1262">
        <v>779376.1</v>
      </c>
    </row>
    <row r="37" spans="1:6">
      <c r="A37" s="1261" t="s">
        <v>24</v>
      </c>
      <c r="B37" s="1261" t="s">
        <v>27</v>
      </c>
      <c r="C37" s="1262">
        <v>0</v>
      </c>
      <c r="D37" s="1262">
        <v>0</v>
      </c>
      <c r="E37" s="1262">
        <v>0</v>
      </c>
      <c r="F37" s="1262">
        <v>0</v>
      </c>
    </row>
    <row r="38" spans="1:6">
      <c r="A38" s="1261" t="s">
        <v>24</v>
      </c>
      <c r="B38" s="1261" t="s">
        <v>28</v>
      </c>
      <c r="C38" s="1262">
        <v>5</v>
      </c>
      <c r="D38" s="1262">
        <v>1640852.3324128699</v>
      </c>
      <c r="E38" s="1262">
        <v>8</v>
      </c>
      <c r="F38" s="1262">
        <v>331150.8</v>
      </c>
    </row>
    <row r="39" spans="1:6">
      <c r="A39" s="1261" t="s">
        <v>29</v>
      </c>
      <c r="B39" s="1261" t="s">
        <v>30</v>
      </c>
      <c r="C39" s="1262">
        <v>44040</v>
      </c>
      <c r="D39" s="1262">
        <v>614419371.83608603</v>
      </c>
      <c r="E39" s="1262">
        <v>53005</v>
      </c>
      <c r="F39" s="1262">
        <v>188020935</v>
      </c>
    </row>
    <row r="40" spans="1:6">
      <c r="A40" s="1261" t="s">
        <v>29</v>
      </c>
      <c r="B40" s="1261" t="s">
        <v>28</v>
      </c>
      <c r="C40" s="1262">
        <v>1</v>
      </c>
      <c r="D40" s="1262">
        <v>17404.5213929848</v>
      </c>
      <c r="E40" s="1262">
        <v>3</v>
      </c>
      <c r="F40" s="1262">
        <v>32476.240000000002</v>
      </c>
    </row>
    <row r="41" spans="1:6">
      <c r="A41" s="1261" t="s">
        <v>31</v>
      </c>
      <c r="B41" s="1261" t="s">
        <v>32</v>
      </c>
      <c r="C41" s="1262">
        <v>487</v>
      </c>
      <c r="D41" s="1262">
        <v>9760875.3219514508</v>
      </c>
      <c r="E41" s="1262">
        <v>863</v>
      </c>
      <c r="F41" s="1262">
        <v>11719938</v>
      </c>
    </row>
    <row r="42" spans="1:6">
      <c r="A42" s="1261" t="s">
        <v>31</v>
      </c>
      <c r="B42" s="1261" t="s">
        <v>33</v>
      </c>
      <c r="C42" s="1262">
        <v>0</v>
      </c>
      <c r="D42" s="1262">
        <v>0</v>
      </c>
      <c r="E42" s="1262">
        <v>3</v>
      </c>
      <c r="F42" s="1262">
        <v>3453765</v>
      </c>
    </row>
    <row r="43" spans="1:6">
      <c r="A43" s="1261" t="s">
        <v>31</v>
      </c>
      <c r="B43" s="1261" t="s">
        <v>34</v>
      </c>
      <c r="C43" s="1262">
        <v>0</v>
      </c>
      <c r="D43" s="1262">
        <v>0</v>
      </c>
      <c r="E43" s="1262">
        <v>0</v>
      </c>
      <c r="F43" s="1262">
        <v>0</v>
      </c>
    </row>
    <row r="44" spans="1:6">
      <c r="A44" s="1261" t="s">
        <v>31</v>
      </c>
      <c r="B44" s="1261" t="s">
        <v>35</v>
      </c>
      <c r="C44" s="1262">
        <v>54</v>
      </c>
      <c r="D44" s="1262">
        <v>6593085.0880666897</v>
      </c>
      <c r="E44" s="1262">
        <v>154</v>
      </c>
      <c r="F44" s="1262">
        <v>5703648</v>
      </c>
    </row>
    <row r="45" spans="1:6">
      <c r="A45" s="1261" t="s">
        <v>31</v>
      </c>
      <c r="B45" s="1261" t="s">
        <v>36</v>
      </c>
      <c r="C45" s="1262">
        <v>3</v>
      </c>
      <c r="D45" s="1262">
        <v>52765.892197066103</v>
      </c>
      <c r="E45" s="1262">
        <v>18</v>
      </c>
      <c r="F45" s="1262">
        <v>2138859</v>
      </c>
    </row>
    <row r="46" spans="1:6">
      <c r="A46" s="1261" t="s">
        <v>31</v>
      </c>
      <c r="B46" s="1261" t="s">
        <v>37</v>
      </c>
      <c r="C46" s="1262">
        <v>0</v>
      </c>
      <c r="D46" s="1262">
        <v>0</v>
      </c>
      <c r="E46" s="1262">
        <v>3</v>
      </c>
      <c r="F46" s="1262">
        <v>3983</v>
      </c>
    </row>
    <row r="47" spans="1:6">
      <c r="A47" s="1261" t="s">
        <v>31</v>
      </c>
      <c r="B47" s="1261" t="s">
        <v>38</v>
      </c>
      <c r="C47" s="1262">
        <v>55</v>
      </c>
      <c r="D47" s="1262">
        <v>1588201.40323966</v>
      </c>
      <c r="E47" s="1262">
        <v>65</v>
      </c>
      <c r="F47" s="1262">
        <v>4086495</v>
      </c>
    </row>
    <row r="48" spans="1:6">
      <c r="A48" s="1261" t="s">
        <v>31</v>
      </c>
      <c r="B48" s="1261" t="s">
        <v>28</v>
      </c>
      <c r="C48" s="1262">
        <v>155</v>
      </c>
      <c r="D48" s="1262">
        <v>158754437.45135799</v>
      </c>
      <c r="E48" s="1262">
        <v>138</v>
      </c>
      <c r="F48" s="1262">
        <v>55974460</v>
      </c>
    </row>
    <row r="49" spans="1:6">
      <c r="A49" s="1261" t="s">
        <v>31</v>
      </c>
      <c r="B49" s="1261" t="s">
        <v>39</v>
      </c>
      <c r="C49" s="1262">
        <v>13</v>
      </c>
      <c r="D49" s="1262">
        <v>350078.49440684001</v>
      </c>
      <c r="E49" s="1262">
        <v>31</v>
      </c>
      <c r="F49" s="1262">
        <v>267806.59999999998</v>
      </c>
    </row>
    <row r="50" spans="1:6">
      <c r="A50" s="1261" t="s">
        <v>31</v>
      </c>
      <c r="B50" s="1261" t="s">
        <v>40</v>
      </c>
      <c r="C50" s="1262">
        <v>95</v>
      </c>
      <c r="D50" s="1262">
        <v>10108950.4145541</v>
      </c>
      <c r="E50" s="1262">
        <v>132</v>
      </c>
      <c r="F50" s="1262">
        <v>21555233</v>
      </c>
    </row>
    <row r="51" spans="1:6">
      <c r="A51" s="1261" t="s">
        <v>41</v>
      </c>
      <c r="B51" s="1261" t="s">
        <v>42</v>
      </c>
      <c r="C51" s="1262">
        <v>131</v>
      </c>
      <c r="D51" s="1262">
        <v>14220920.4248305</v>
      </c>
      <c r="E51" s="1262">
        <v>298</v>
      </c>
      <c r="F51" s="1262">
        <v>6729518</v>
      </c>
    </row>
    <row r="52" spans="1:6">
      <c r="A52" s="1261" t="s">
        <v>41</v>
      </c>
      <c r="B52" s="1261" t="s">
        <v>28</v>
      </c>
      <c r="C52" s="1262">
        <v>16</v>
      </c>
      <c r="D52" s="1262">
        <v>573466.645540884</v>
      </c>
      <c r="E52" s="1262">
        <v>32</v>
      </c>
      <c r="F52" s="1262">
        <v>876145.5</v>
      </c>
    </row>
    <row r="53" spans="1:6">
      <c r="A53" s="1261" t="s">
        <v>43</v>
      </c>
      <c r="B53" s="1261" t="s">
        <v>44</v>
      </c>
      <c r="C53" s="1262">
        <v>1613</v>
      </c>
      <c r="D53" s="1262">
        <v>34212157.911528401</v>
      </c>
      <c r="E53" s="1262">
        <v>2610</v>
      </c>
      <c r="F53" s="1262">
        <v>10944763</v>
      </c>
    </row>
    <row r="54" spans="1:6">
      <c r="A54" s="1261" t="s">
        <v>45</v>
      </c>
      <c r="B54" s="1261" t="s">
        <v>46</v>
      </c>
      <c r="C54" s="1262">
        <v>0</v>
      </c>
      <c r="D54" s="1262">
        <v>0</v>
      </c>
      <c r="E54" s="1262">
        <v>2</v>
      </c>
      <c r="F54" s="1262">
        <v>8236832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470</v>
      </c>
      <c r="D57" s="1262">
        <v>44721248.210374497</v>
      </c>
      <c r="E57" s="1262">
        <v>709</v>
      </c>
      <c r="F57" s="1262">
        <v>30883445</v>
      </c>
    </row>
    <row r="58" spans="1:6">
      <c r="A58" s="1261" t="s">
        <v>48</v>
      </c>
      <c r="B58" s="1261" t="s">
        <v>50</v>
      </c>
      <c r="C58" s="1262">
        <v>343</v>
      </c>
      <c r="D58" s="1262">
        <v>43674927.071383201</v>
      </c>
      <c r="E58" s="1262">
        <v>451</v>
      </c>
      <c r="F58" s="1262">
        <v>30503608</v>
      </c>
    </row>
    <row r="59" spans="1:6">
      <c r="A59" s="1261" t="s">
        <v>48</v>
      </c>
      <c r="B59" s="1261" t="s">
        <v>51</v>
      </c>
      <c r="C59" s="1262">
        <v>1268</v>
      </c>
      <c r="D59" s="1262">
        <v>47580774.743631303</v>
      </c>
      <c r="E59" s="1262">
        <v>2068</v>
      </c>
      <c r="F59" s="1262">
        <v>76185715</v>
      </c>
    </row>
    <row r="60" spans="1:6">
      <c r="A60" s="1261" t="s">
        <v>48</v>
      </c>
      <c r="B60" s="1261" t="s">
        <v>52</v>
      </c>
      <c r="C60" s="1262">
        <v>1000</v>
      </c>
      <c r="D60" s="1262">
        <v>72013649.539879993</v>
      </c>
      <c r="E60" s="1262">
        <v>1182</v>
      </c>
      <c r="F60" s="1262">
        <v>48192043</v>
      </c>
    </row>
    <row r="61" spans="1:6">
      <c r="A61" s="1261" t="s">
        <v>48</v>
      </c>
      <c r="B61" s="1261" t="s">
        <v>53</v>
      </c>
      <c r="C61" s="1262">
        <v>1553</v>
      </c>
      <c r="D61" s="1262">
        <v>84156323.839235798</v>
      </c>
      <c r="E61" s="1262">
        <v>3048</v>
      </c>
      <c r="F61" s="1262">
        <v>96545846</v>
      </c>
    </row>
    <row r="62" spans="1:6">
      <c r="A62" s="1261" t="s">
        <v>48</v>
      </c>
      <c r="B62" s="1261" t="s">
        <v>54</v>
      </c>
      <c r="C62" s="1262">
        <v>276</v>
      </c>
      <c r="D62" s="1262">
        <v>39011034.200266697</v>
      </c>
      <c r="E62" s="1262">
        <v>465</v>
      </c>
      <c r="F62" s="1262">
        <v>16798073</v>
      </c>
    </row>
    <row r="63" spans="1:6">
      <c r="A63" s="1261" t="s">
        <v>48</v>
      </c>
      <c r="B63" s="1261" t="s">
        <v>28</v>
      </c>
      <c r="C63" s="1262">
        <v>409</v>
      </c>
      <c r="D63" s="1262">
        <v>32137512.238001801</v>
      </c>
      <c r="E63" s="1262">
        <v>369</v>
      </c>
      <c r="F63" s="1262">
        <v>16393191</v>
      </c>
    </row>
    <row r="64" spans="1:6">
      <c r="A64" s="1261" t="s">
        <v>55</v>
      </c>
      <c r="B64" s="1261" t="s">
        <v>56</v>
      </c>
      <c r="C64" s="1262">
        <v>0</v>
      </c>
      <c r="D64" s="1262">
        <v>0</v>
      </c>
      <c r="E64" s="1262">
        <v>0</v>
      </c>
      <c r="F64" s="1262">
        <v>0</v>
      </c>
    </row>
    <row r="65" spans="1:6">
      <c r="A65" s="1261" t="s">
        <v>55</v>
      </c>
      <c r="B65" s="1261" t="s">
        <v>28</v>
      </c>
      <c r="C65" s="1262">
        <v>22</v>
      </c>
      <c r="D65" s="1262">
        <v>3443567.9238696401</v>
      </c>
      <c r="E65" s="1262">
        <v>16</v>
      </c>
      <c r="F65" s="1262">
        <v>937434.8</v>
      </c>
    </row>
    <row r="66" spans="1:6">
      <c r="A66" s="1261" t="s">
        <v>55</v>
      </c>
      <c r="B66" s="1261" t="s">
        <v>57</v>
      </c>
      <c r="C66" s="1262">
        <v>6</v>
      </c>
      <c r="D66" s="1262">
        <v>56384.264453337099</v>
      </c>
      <c r="E66" s="1262">
        <v>130</v>
      </c>
      <c r="F66" s="1262">
        <v>7454388</v>
      </c>
    </row>
    <row r="67" spans="1:6">
      <c r="A67" s="1261" t="s">
        <v>55</v>
      </c>
      <c r="B67" s="1261" t="s">
        <v>58</v>
      </c>
      <c r="C67" s="1262">
        <v>0</v>
      </c>
      <c r="D67" s="1262">
        <v>0</v>
      </c>
      <c r="E67" s="1262">
        <v>0</v>
      </c>
      <c r="F67" s="1262">
        <v>0</v>
      </c>
    </row>
    <row r="68" spans="1:6">
      <c r="A68" s="1256" t="s">
        <v>55</v>
      </c>
      <c r="B68" s="1256" t="s">
        <v>59</v>
      </c>
      <c r="C68" s="1264">
        <v>22</v>
      </c>
      <c r="D68" s="1264">
        <v>518971.21953123499</v>
      </c>
      <c r="E68" s="1264">
        <v>77</v>
      </c>
      <c r="F68" s="1264">
        <v>2627745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566998117</v>
      </c>
      <c r="E73" s="440"/>
      <c r="F73" s="322"/>
    </row>
    <row r="74" spans="1:6">
      <c r="A74" s="1261" t="s">
        <v>63</v>
      </c>
      <c r="B74" s="1261" t="s">
        <v>670</v>
      </c>
      <c r="C74" s="1274" t="s">
        <v>672</v>
      </c>
      <c r="D74" s="1262">
        <v>56746576.858305395</v>
      </c>
      <c r="E74" s="440"/>
      <c r="F74" s="322"/>
    </row>
    <row r="75" spans="1:6">
      <c r="A75" s="1261" t="s">
        <v>64</v>
      </c>
      <c r="B75" s="1261" t="s">
        <v>669</v>
      </c>
      <c r="C75" s="1274" t="s">
        <v>673</v>
      </c>
      <c r="D75" s="1262">
        <v>150834561</v>
      </c>
      <c r="E75" s="440"/>
      <c r="F75" s="322"/>
    </row>
    <row r="76" spans="1:6">
      <c r="A76" s="1261" t="s">
        <v>64</v>
      </c>
      <c r="B76" s="1261" t="s">
        <v>670</v>
      </c>
      <c r="C76" s="1274" t="s">
        <v>674</v>
      </c>
      <c r="D76" s="1262">
        <v>6056361.8583053946</v>
      </c>
      <c r="E76" s="440"/>
      <c r="F76" s="322"/>
    </row>
    <row r="77" spans="1:6">
      <c r="A77" s="1261" t="s">
        <v>65</v>
      </c>
      <c r="B77" s="1261" t="s">
        <v>669</v>
      </c>
      <c r="C77" s="1274" t="s">
        <v>675</v>
      </c>
      <c r="D77" s="1262">
        <v>86518880</v>
      </c>
      <c r="E77" s="440"/>
      <c r="F77" s="322"/>
    </row>
    <row r="78" spans="1:6">
      <c r="A78" s="1256" t="s">
        <v>65</v>
      </c>
      <c r="B78" s="1256" t="s">
        <v>670</v>
      </c>
      <c r="C78" s="1256" t="s">
        <v>676</v>
      </c>
      <c r="D78" s="1264">
        <v>13961150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6233316.2833892116</v>
      </c>
      <c r="C83" s="440"/>
      <c r="D83" s="322"/>
      <c r="E83" s="322"/>
      <c r="F83" s="322"/>
    </row>
    <row r="84" spans="1:6">
      <c r="A84" s="1256" t="s">
        <v>324</v>
      </c>
      <c r="B84" s="1264">
        <v>232303.6172614833</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58865.205099733474</v>
      </c>
      <c r="C90" s="322"/>
      <c r="D90" s="322"/>
      <c r="E90" s="322"/>
      <c r="F90" s="322"/>
    </row>
    <row r="91" spans="1:6">
      <c r="A91" s="1261" t="s">
        <v>67</v>
      </c>
      <c r="B91" s="1262">
        <v>12064.55960147559</v>
      </c>
      <c r="C91" s="322"/>
      <c r="D91" s="322"/>
      <c r="E91" s="322"/>
      <c r="F91" s="322"/>
    </row>
    <row r="92" spans="1:6">
      <c r="A92" s="1256" t="s">
        <v>68</v>
      </c>
      <c r="B92" s="1257">
        <v>18872.196819359353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33975</v>
      </c>
      <c r="C97" s="322"/>
      <c r="D97" s="322"/>
      <c r="E97" s="322"/>
      <c r="F97" s="322"/>
    </row>
    <row r="98" spans="1:6">
      <c r="A98" s="1261" t="s">
        <v>71</v>
      </c>
      <c r="B98" s="1262">
        <v>8</v>
      </c>
      <c r="C98" s="322"/>
      <c r="D98" s="322"/>
      <c r="E98" s="322"/>
      <c r="F98" s="322"/>
    </row>
    <row r="99" spans="1:6">
      <c r="A99" s="1261" t="s">
        <v>72</v>
      </c>
      <c r="B99" s="1262">
        <v>191</v>
      </c>
      <c r="C99" s="322"/>
      <c r="D99" s="322"/>
      <c r="E99" s="322"/>
      <c r="F99" s="322"/>
    </row>
    <row r="100" spans="1:6">
      <c r="A100" s="1261" t="s">
        <v>73</v>
      </c>
      <c r="B100" s="1262">
        <v>3941</v>
      </c>
      <c r="C100" s="322"/>
      <c r="D100" s="322"/>
      <c r="E100" s="322"/>
      <c r="F100" s="322"/>
    </row>
    <row r="101" spans="1:6">
      <c r="A101" s="1261" t="s">
        <v>74</v>
      </c>
      <c r="B101" s="1262">
        <v>356</v>
      </c>
      <c r="C101" s="322"/>
      <c r="D101" s="322"/>
      <c r="E101" s="322"/>
      <c r="F101" s="322"/>
    </row>
    <row r="102" spans="1:6">
      <c r="A102" s="1261" t="s">
        <v>75</v>
      </c>
      <c r="B102" s="1262">
        <v>1147</v>
      </c>
      <c r="C102" s="322"/>
      <c r="D102" s="322"/>
      <c r="E102" s="322"/>
      <c r="F102" s="322"/>
    </row>
    <row r="103" spans="1:6">
      <c r="A103" s="1261" t="s">
        <v>76</v>
      </c>
      <c r="B103" s="1262">
        <v>613</v>
      </c>
      <c r="C103" s="322"/>
      <c r="D103" s="322"/>
      <c r="E103" s="322"/>
      <c r="F103" s="322"/>
    </row>
    <row r="104" spans="1:6">
      <c r="A104" s="1261" t="s">
        <v>77</v>
      </c>
      <c r="B104" s="1262">
        <v>8219</v>
      </c>
      <c r="C104" s="322"/>
      <c r="D104" s="322"/>
      <c r="E104" s="322"/>
      <c r="F104" s="322"/>
    </row>
    <row r="105" spans="1:6">
      <c r="A105" s="1256" t="s">
        <v>78</v>
      </c>
      <c r="B105" s="1264">
        <v>33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3</v>
      </c>
      <c r="C110" s="322"/>
      <c r="D110" s="322"/>
      <c r="E110" s="322"/>
      <c r="F110" s="322"/>
    </row>
    <row r="111" spans="1:6">
      <c r="A111" s="1279" t="s">
        <v>625</v>
      </c>
      <c r="B111" s="1280">
        <v>1</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30</v>
      </c>
      <c r="C123" s="1262">
        <v>64</v>
      </c>
      <c r="D123" s="322"/>
      <c r="E123" s="322"/>
      <c r="F123" s="322"/>
    </row>
    <row r="124" spans="1:6">
      <c r="A124" s="1261" t="s">
        <v>88</v>
      </c>
      <c r="B124" s="1262">
        <v>1</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505</v>
      </c>
      <c r="C129" s="322"/>
      <c r="D129" s="322"/>
      <c r="E129" s="322"/>
      <c r="F129" s="322"/>
    </row>
    <row r="130" spans="1:6">
      <c r="A130" s="1261" t="s">
        <v>284</v>
      </c>
      <c r="B130" s="1262">
        <v>11</v>
      </c>
      <c r="C130" s="322"/>
      <c r="D130" s="322"/>
      <c r="E130" s="322"/>
      <c r="F130" s="322"/>
    </row>
    <row r="131" spans="1:6">
      <c r="A131" s="1261" t="s">
        <v>285</v>
      </c>
      <c r="B131" s="1262">
        <v>17</v>
      </c>
      <c r="C131" s="322"/>
      <c r="D131" s="322"/>
      <c r="E131" s="322"/>
      <c r="F131" s="322"/>
    </row>
    <row r="132" spans="1:6">
      <c r="A132" s="1256" t="s">
        <v>286</v>
      </c>
      <c r="B132" s="1257">
        <v>20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648359.40487925662</v>
      </c>
      <c r="C3" s="43" t="s">
        <v>163</v>
      </c>
      <c r="D3" s="43"/>
      <c r="E3" s="153"/>
      <c r="F3" s="43"/>
      <c r="G3" s="43"/>
      <c r="H3" s="43"/>
      <c r="I3" s="43"/>
      <c r="J3" s="43"/>
      <c r="K3" s="96"/>
    </row>
    <row r="4" spans="1:11">
      <c r="A4" s="349" t="s">
        <v>164</v>
      </c>
      <c r="B4" s="49">
        <f>IF(ISERROR('SEAP template'!B78+'SEAP template'!C78),0,'SEAP template'!B78+'SEAP template'!C78)</f>
        <v>89831.211520568409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6.8314760147601481</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0.19039064025187272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13.512809699525569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57.857142857142861</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0.23355473554735551</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8236.8320000000003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8236.8320000000003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0.19039064025187272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1568.2157181271134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188053.41124000002</v>
      </c>
      <c r="C5" s="17">
        <f>IF(ISERROR('Eigen informatie GS &amp; warmtenet'!B57),0,'Eigen informatie GS &amp; warmtenet'!B57)</f>
        <v>0</v>
      </c>
      <c r="D5" s="30">
        <f>(SUM(HH_hh_gas_kWh,HH_rest_gas_kWh)/1000)*0.902</f>
        <v>554221.97227444605</v>
      </c>
      <c r="E5" s="17">
        <f>B32*B41</f>
        <v>5595.0347288559497</v>
      </c>
      <c r="F5" s="17">
        <f>B36*B45</f>
        <v>176505.89027648602</v>
      </c>
      <c r="G5" s="18"/>
      <c r="H5" s="17"/>
      <c r="I5" s="17"/>
      <c r="J5" s="17">
        <f>B35*B44+C35*C44</f>
        <v>4116.1106934883219</v>
      </c>
      <c r="K5" s="17"/>
      <c r="L5" s="17"/>
      <c r="M5" s="17"/>
      <c r="N5" s="17">
        <f>B34*B43+C34*C43</f>
        <v>57451.751792481635</v>
      </c>
      <c r="O5" s="17">
        <f>B52*B53*B54</f>
        <v>892.66333333333341</v>
      </c>
      <c r="P5" s="17">
        <f>B60*B61*B62/1000-B60*B61*B62/1000/B63</f>
        <v>972.4</v>
      </c>
    </row>
    <row r="6" spans="1:16">
      <c r="A6" s="16" t="s">
        <v>593</v>
      </c>
      <c r="B6" s="717">
        <f>kWh_PV_kleiner_dan_10kW</f>
        <v>12064.55960147559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200117.97084147562</v>
      </c>
      <c r="C8" s="21">
        <f>C5</f>
        <v>0</v>
      </c>
      <c r="D8" s="21">
        <f>D5</f>
        <v>554221.97227444605</v>
      </c>
      <c r="E8" s="21">
        <f>E5</f>
        <v>5595.0347288559497</v>
      </c>
      <c r="F8" s="21">
        <f>F5</f>
        <v>176505.89027648602</v>
      </c>
      <c r="G8" s="21"/>
      <c r="H8" s="21"/>
      <c r="I8" s="21"/>
      <c r="J8" s="21">
        <f>J5</f>
        <v>4116.1106934883219</v>
      </c>
      <c r="K8" s="21"/>
      <c r="L8" s="21">
        <f>L5</f>
        <v>0</v>
      </c>
      <c r="M8" s="21">
        <f>M5</f>
        <v>0</v>
      </c>
      <c r="N8" s="21">
        <f>N5</f>
        <v>57451.751792481635</v>
      </c>
      <c r="O8" s="21">
        <f>O5</f>
        <v>892.66333333333341</v>
      </c>
      <c r="P8" s="21">
        <f>P5</f>
        <v>972.4</v>
      </c>
    </row>
    <row r="9" spans="1:16">
      <c r="B9" s="19"/>
      <c r="C9" s="19"/>
      <c r="D9" s="253"/>
      <c r="E9" s="19"/>
      <c r="F9" s="19"/>
      <c r="G9" s="19"/>
      <c r="H9" s="19"/>
      <c r="I9" s="19"/>
      <c r="J9" s="19"/>
      <c r="K9" s="19"/>
      <c r="L9" s="19"/>
      <c r="M9" s="19"/>
      <c r="N9" s="19"/>
      <c r="O9" s="19"/>
      <c r="P9" s="19"/>
    </row>
    <row r="10" spans="1:16">
      <c r="A10" s="24" t="s">
        <v>207</v>
      </c>
      <c r="B10" s="25">
        <f ca="1">'EF ele_warmte'!B12</f>
        <v>0.19039064025187272</v>
      </c>
      <c r="C10" s="25">
        <f ca="1">'EF ele_warmte'!B22</f>
        <v>0.23355473554735551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38100.588594414141</v>
      </c>
      <c r="C12" s="23">
        <f ca="1">C10*C8</f>
        <v>0</v>
      </c>
      <c r="D12" s="23">
        <f>D8*D10</f>
        <v>111952.83839943811</v>
      </c>
      <c r="E12" s="23">
        <f>E10*E8</f>
        <v>1270.0728834503007</v>
      </c>
      <c r="F12" s="23">
        <f>F10*F8</f>
        <v>47127.072703821774</v>
      </c>
      <c r="G12" s="23"/>
      <c r="H12" s="23"/>
      <c r="I12" s="23"/>
      <c r="J12" s="23">
        <f>J10*J8</f>
        <v>1457.1031854948658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53006</v>
      </c>
      <c r="C26" s="36"/>
      <c r="D26" s="224"/>
    </row>
    <row r="27" spans="1:5" s="15" customFormat="1">
      <c r="A27" s="226" t="s">
        <v>696</v>
      </c>
      <c r="B27" s="37">
        <f>SUM(HH_hh_gas_aantal,HH_rest_gas_aantal)</f>
        <v>44041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41838.949999999997</v>
      </c>
      <c r="C31" s="34" t="s">
        <v>104</v>
      </c>
      <c r="D31" s="170"/>
    </row>
    <row r="32" spans="1:5">
      <c r="A32" s="167" t="s">
        <v>72</v>
      </c>
      <c r="B32" s="33">
        <f>IF((B21*($B$26-($B$27-0.05*$B$27)-$B$60))&lt;0,0,B21*($B$26-($B$27-0.05*$B$27)-$B$60))</f>
        <v>70.089145778828367</v>
      </c>
      <c r="C32" s="34" t="s">
        <v>104</v>
      </c>
      <c r="D32" s="170"/>
    </row>
    <row r="33" spans="1:6">
      <c r="A33" s="167" t="s">
        <v>73</v>
      </c>
      <c r="B33" s="33">
        <f>IF((B22*($B$26-($B$27-0.05*$B$27)-$B$60))&lt;0,0,B22*($B$26-($B$27-0.05*$B$27)-$B$60))</f>
        <v>2440.7586698750201</v>
      </c>
      <c r="C33" s="34" t="s">
        <v>104</v>
      </c>
      <c r="D33" s="170"/>
    </row>
    <row r="34" spans="1:6">
      <c r="A34" s="167" t="s">
        <v>74</v>
      </c>
      <c r="B34" s="33">
        <f>IF((B24*($B$26-($B$27-0.05*$B$27)-$B$60))&lt;0,0,B24*($B$26-($B$27-0.05*$B$27)-$B$60))</f>
        <v>484.47979823522797</v>
      </c>
      <c r="C34" s="33">
        <f>B26*C24</f>
        <v>10845.010766592992</v>
      </c>
      <c r="D34" s="229"/>
    </row>
    <row r="35" spans="1:6">
      <c r="A35" s="167" t="s">
        <v>76</v>
      </c>
      <c r="B35" s="33">
        <f>IF((B19*($B$26-($B$27-0.05*$B$27)-$B$60))&lt;0,0,B19*($B$26-($B$27-0.05*$B$27)-$B$60))</f>
        <v>236.69593359980149</v>
      </c>
      <c r="C35" s="33">
        <f>B35/2</f>
        <v>118.34796679990075</v>
      </c>
      <c r="D35" s="229"/>
    </row>
    <row r="36" spans="1:6">
      <c r="A36" s="167" t="s">
        <v>77</v>
      </c>
      <c r="B36" s="33">
        <f>IF((B18*($B$26-($B$27-0.05*$B$27)-$B$60))&lt;0,0,B18*($B$26-($B$27-0.05*$B$27)-$B$60))</f>
        <v>7884.0264525111288</v>
      </c>
      <c r="C36" s="34" t="s">
        <v>104</v>
      </c>
      <c r="D36" s="170"/>
    </row>
    <row r="37" spans="1:6">
      <c r="A37" s="167" t="s">
        <v>78</v>
      </c>
      <c r="B37" s="33">
        <f>B60</f>
        <v>51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571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315501.92099999997</v>
      </c>
      <c r="C5" s="17">
        <f>IF(ISERROR('Eigen informatie GS &amp; warmtenet'!B58),0,'Eigen informatie GS &amp; warmtenet'!B58)</f>
        <v>0</v>
      </c>
      <c r="D5" s="30">
        <f>SUM(D6:D12)</f>
        <v>327692.51379818149</v>
      </c>
      <c r="E5" s="17">
        <f>SUM(E6:E12)</f>
        <v>3951.1739073156887</v>
      </c>
      <c r="F5" s="17">
        <f>SUM(F6:F12)</f>
        <v>66461.447870900462</v>
      </c>
      <c r="G5" s="18"/>
      <c r="H5" s="17"/>
      <c r="I5" s="17"/>
      <c r="J5" s="17">
        <f>SUM(J6:J12)</f>
        <v>0</v>
      </c>
      <c r="K5" s="17"/>
      <c r="L5" s="17"/>
      <c r="M5" s="17"/>
      <c r="N5" s="17">
        <f>SUM(N6:N12)</f>
        <v>15922.963321285521</v>
      </c>
      <c r="O5" s="17">
        <f>B38*B39*B40</f>
        <v>17.196666666666669</v>
      </c>
      <c r="P5" s="17">
        <f>B46*B47*B48/1000-B46*B47*B48/1000/B49</f>
        <v>324.13333333333333</v>
      </c>
      <c r="R5" s="32"/>
    </row>
    <row r="6" spans="1:18">
      <c r="A6" s="32" t="s">
        <v>53</v>
      </c>
      <c r="B6" s="37">
        <f>B26</f>
        <v>96545.846000000005</v>
      </c>
      <c r="C6" s="33"/>
      <c r="D6" s="37">
        <f>IF(ISERROR(TER_kantoor_gas_kWh/1000),0,TER_kantoor_gas_kWh/1000)*0.902</f>
        <v>75909.004102990701</v>
      </c>
      <c r="E6" s="33">
        <f>$C$26*'E Balans VL '!I12/100/3.6*1000000</f>
        <v>1.3539580030392999</v>
      </c>
      <c r="F6" s="33">
        <f>$C$26*('E Balans VL '!L12+'E Balans VL '!N12)/100/3.6*1000000</f>
        <v>13419.714171826625</v>
      </c>
      <c r="G6" s="34"/>
      <c r="H6" s="33"/>
      <c r="I6" s="33"/>
      <c r="J6" s="33">
        <f>$C$26*('E Balans VL '!D12+'E Balans VL '!E12)/100/3.6*1000000</f>
        <v>0</v>
      </c>
      <c r="K6" s="33"/>
      <c r="L6" s="33"/>
      <c r="M6" s="33"/>
      <c r="N6" s="33">
        <f>$C$26*'E Balans VL '!Y12/100/3.6*1000000</f>
        <v>1194.9269644411149</v>
      </c>
      <c r="O6" s="33"/>
      <c r="P6" s="33"/>
      <c r="R6" s="32"/>
    </row>
    <row r="7" spans="1:18">
      <c r="A7" s="32" t="s">
        <v>52</v>
      </c>
      <c r="B7" s="37">
        <f t="shared" ref="B7:B12" si="0">B27</f>
        <v>48192.042999999998</v>
      </c>
      <c r="C7" s="33"/>
      <c r="D7" s="37">
        <f>IF(ISERROR(TER_horeca_gas_kWh/1000),0,TER_horeca_gas_kWh/1000)*0.902</f>
        <v>64956.31188497175</v>
      </c>
      <c r="E7" s="33">
        <f>$C$27*'E Balans VL '!I9/100/3.6*1000000</f>
        <v>687.90478735096667</v>
      </c>
      <c r="F7" s="33">
        <f>$C$27*('E Balans VL '!L9+'E Balans VL '!N9)/100/3.6*1000000</f>
        <v>7491.9248775822398</v>
      </c>
      <c r="G7" s="34"/>
      <c r="H7" s="33"/>
      <c r="I7" s="33"/>
      <c r="J7" s="33">
        <f>$C$27*('E Balans VL '!D9+'E Balans VL '!E9)/100/3.6*1000000</f>
        <v>0</v>
      </c>
      <c r="K7" s="33"/>
      <c r="L7" s="33"/>
      <c r="M7" s="33"/>
      <c r="N7" s="33">
        <f>$C$27*'E Balans VL '!Y9/100/3.6*1000000</f>
        <v>12.418331219563761</v>
      </c>
      <c r="O7" s="33"/>
      <c r="P7" s="33"/>
      <c r="R7" s="32"/>
    </row>
    <row r="8" spans="1:18">
      <c r="A8" s="6" t="s">
        <v>51</v>
      </c>
      <c r="B8" s="37">
        <f t="shared" si="0"/>
        <v>76185.714999999997</v>
      </c>
      <c r="C8" s="33"/>
      <c r="D8" s="37">
        <f>IF(ISERROR(TER_handel_gas_kWh/1000),0,TER_handel_gas_kWh/1000)*0.902</f>
        <v>42917.858818755434</v>
      </c>
      <c r="E8" s="33">
        <f>$C$28*'E Balans VL '!I13/100/3.6*1000000</f>
        <v>2061.9840582449683</v>
      </c>
      <c r="F8" s="33">
        <f>$C$28*('E Balans VL '!L13+'E Balans VL '!N13)/100/3.6*1000000</f>
        <v>11830.221895708879</v>
      </c>
      <c r="G8" s="34"/>
      <c r="H8" s="33"/>
      <c r="I8" s="33"/>
      <c r="J8" s="33">
        <f>$C$28*('E Balans VL '!D13+'E Balans VL '!E13)/100/3.6*1000000</f>
        <v>0</v>
      </c>
      <c r="K8" s="33"/>
      <c r="L8" s="33"/>
      <c r="M8" s="33"/>
      <c r="N8" s="33">
        <f>$C$28*'E Balans VL '!Y13/100/3.6*1000000</f>
        <v>617.30842596617174</v>
      </c>
      <c r="O8" s="33"/>
      <c r="P8" s="33"/>
      <c r="R8" s="32"/>
    </row>
    <row r="9" spans="1:18">
      <c r="A9" s="32" t="s">
        <v>50</v>
      </c>
      <c r="B9" s="37">
        <f t="shared" si="0"/>
        <v>30503.608</v>
      </c>
      <c r="C9" s="33"/>
      <c r="D9" s="37">
        <f>IF(ISERROR(TER_gezond_gas_kWh/1000),0,TER_gezond_gas_kWh/1000)*0.902</f>
        <v>39394.784218387649</v>
      </c>
      <c r="E9" s="33">
        <f>$C$29*'E Balans VL '!I10/100/3.6*1000000</f>
        <v>1.9034092826569693</v>
      </c>
      <c r="F9" s="33">
        <f>$C$29*('E Balans VL '!L10+'E Balans VL '!N10)/100/3.6*1000000</f>
        <v>3948.9824911670498</v>
      </c>
      <c r="G9" s="34"/>
      <c r="H9" s="33"/>
      <c r="I9" s="33"/>
      <c r="J9" s="33">
        <f>$C$29*('E Balans VL '!D10+'E Balans VL '!E10)/100/3.6*1000000</f>
        <v>0</v>
      </c>
      <c r="K9" s="33"/>
      <c r="L9" s="33"/>
      <c r="M9" s="33"/>
      <c r="N9" s="33">
        <f>$C$29*'E Balans VL '!Y10/100/3.6*1000000</f>
        <v>250.09977760450084</v>
      </c>
      <c r="O9" s="33"/>
      <c r="P9" s="33"/>
      <c r="R9" s="32"/>
    </row>
    <row r="10" spans="1:18">
      <c r="A10" s="32" t="s">
        <v>49</v>
      </c>
      <c r="B10" s="37">
        <f t="shared" si="0"/>
        <v>30883.445</v>
      </c>
      <c r="C10" s="33"/>
      <c r="D10" s="37">
        <f>IF(ISERROR(TER_ander_gas_kWh/1000),0,TER_ander_gas_kWh/1000)*0.902</f>
        <v>40338.565885757802</v>
      </c>
      <c r="E10" s="33">
        <f>$C$30*'E Balans VL '!I14/100/3.6*1000000</f>
        <v>932.35678633974817</v>
      </c>
      <c r="F10" s="33">
        <f>$C$30*('E Balans VL '!L14+'E Balans VL '!N14)/100/3.6*1000000</f>
        <v>19553.787455290079</v>
      </c>
      <c r="G10" s="34"/>
      <c r="H10" s="33"/>
      <c r="I10" s="33"/>
      <c r="J10" s="33">
        <f>$C$30*('E Balans VL '!D14+'E Balans VL '!E14)/100/3.6*1000000</f>
        <v>0</v>
      </c>
      <c r="K10" s="33"/>
      <c r="L10" s="33"/>
      <c r="M10" s="33"/>
      <c r="N10" s="33">
        <f>$C$30*'E Balans VL '!Y14/100/3.6*1000000</f>
        <v>12500.467666324088</v>
      </c>
      <c r="O10" s="33"/>
      <c r="P10" s="33"/>
      <c r="R10" s="32"/>
    </row>
    <row r="11" spans="1:18">
      <c r="A11" s="32" t="s">
        <v>54</v>
      </c>
      <c r="B11" s="37">
        <f t="shared" si="0"/>
        <v>16798.073</v>
      </c>
      <c r="C11" s="33"/>
      <c r="D11" s="37">
        <f>IF(ISERROR(TER_onderwijs_gas_kWh/1000),0,TER_onderwijs_gas_kWh/1000)*0.902</f>
        <v>35187.952848640562</v>
      </c>
      <c r="E11" s="33">
        <f>$C$31*'E Balans VL '!I11/100/3.6*1000000</f>
        <v>21.155065105262597</v>
      </c>
      <c r="F11" s="33">
        <f>$C$31*('E Balans VL '!L11+'E Balans VL '!N11)/100/3.6*1000000</f>
        <v>6239.7201661671379</v>
      </c>
      <c r="G11" s="34"/>
      <c r="H11" s="33"/>
      <c r="I11" s="33"/>
      <c r="J11" s="33">
        <f>$C$31*('E Balans VL '!D11+'E Balans VL '!E11)/100/3.6*1000000</f>
        <v>0</v>
      </c>
      <c r="K11" s="33"/>
      <c r="L11" s="33"/>
      <c r="M11" s="33"/>
      <c r="N11" s="33">
        <f>$C$31*'E Balans VL '!Y11/100/3.6*1000000</f>
        <v>21.271665119056415</v>
      </c>
      <c r="O11" s="33"/>
      <c r="P11" s="33"/>
      <c r="R11" s="32"/>
    </row>
    <row r="12" spans="1:18">
      <c r="A12" s="32" t="s">
        <v>249</v>
      </c>
      <c r="B12" s="37">
        <f t="shared" si="0"/>
        <v>16393.190999999999</v>
      </c>
      <c r="C12" s="33"/>
      <c r="D12" s="37">
        <f>IF(ISERROR(TER_rest_gas_kWh/1000),0,TER_rest_gas_kWh/1000)*0.902</f>
        <v>28988.036038677623</v>
      </c>
      <c r="E12" s="33">
        <f>$C$32*'E Balans VL '!I8/100/3.6*1000000</f>
        <v>244.51584298904672</v>
      </c>
      <c r="F12" s="33">
        <f>$C$32*('E Balans VL '!L8+'E Balans VL '!N8)/100/3.6*1000000</f>
        <v>3977.0968131584618</v>
      </c>
      <c r="G12" s="34"/>
      <c r="H12" s="33"/>
      <c r="I12" s="33"/>
      <c r="J12" s="33">
        <f>$C$32*('E Balans VL '!D8+'E Balans VL '!E8)/100/3.6*1000000</f>
        <v>0</v>
      </c>
      <c r="K12" s="33"/>
      <c r="L12" s="33"/>
      <c r="M12" s="33"/>
      <c r="N12" s="33">
        <f>$C$32*'E Balans VL '!Y8/100/3.6*1000000</f>
        <v>1326.4704906110255</v>
      </c>
      <c r="O12" s="33"/>
      <c r="P12" s="33"/>
      <c r="R12" s="32"/>
    </row>
    <row r="13" spans="1:18">
      <c r="A13" s="16" t="s">
        <v>480</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315501.92099999997</v>
      </c>
      <c r="C16" s="21">
        <f t="shared" ca="1" si="1"/>
        <v>0</v>
      </c>
      <c r="D16" s="21">
        <f t="shared" ca="1" si="1"/>
        <v>327692.51379818149</v>
      </c>
      <c r="E16" s="21">
        <f t="shared" si="1"/>
        <v>3951.1739073156887</v>
      </c>
      <c r="F16" s="21">
        <f t="shared" ca="1" si="1"/>
        <v>66461.447870900462</v>
      </c>
      <c r="G16" s="21">
        <f t="shared" si="1"/>
        <v>0</v>
      </c>
      <c r="H16" s="21">
        <f t="shared" si="1"/>
        <v>0</v>
      </c>
      <c r="I16" s="21">
        <f t="shared" si="1"/>
        <v>0</v>
      </c>
      <c r="J16" s="21">
        <f t="shared" si="1"/>
        <v>0</v>
      </c>
      <c r="K16" s="21">
        <f t="shared" si="1"/>
        <v>0</v>
      </c>
      <c r="L16" s="21">
        <f t="shared" ca="1" si="1"/>
        <v>0</v>
      </c>
      <c r="M16" s="21">
        <f t="shared" si="1"/>
        <v>0</v>
      </c>
      <c r="N16" s="21">
        <f t="shared" ca="1" si="1"/>
        <v>15922.963321285521</v>
      </c>
      <c r="O16" s="21">
        <f>O5</f>
        <v>17.196666666666669</v>
      </c>
      <c r="P16" s="21">
        <f>P5</f>
        <v>324.13333333333333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0.19039064025187272</v>
      </c>
      <c r="C18" s="25">
        <f ca="1">'EF ele_warmte'!B22</f>
        <v>0.23355473554735551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60068.612739885764</v>
      </c>
      <c r="C20" s="23">
        <f t="shared" ref="C20:P20" ca="1" si="2">C16*C18</f>
        <v>0</v>
      </c>
      <c r="D20" s="23">
        <f t="shared" ca="1" si="2"/>
        <v>66193.88778723267</v>
      </c>
      <c r="E20" s="23">
        <f t="shared" si="2"/>
        <v>896.91647696066138</v>
      </c>
      <c r="F20" s="23">
        <f t="shared" ca="1" si="2"/>
        <v>17745.206581530423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96545.846000000005</v>
      </c>
      <c r="C26" s="39">
        <f>IF(ISERROR(B26*3.6/1000000/'E Balans VL '!Z12*100),0,B26*3.6/1000000/'E Balans VL '!Z12*100)</f>
        <v>2.6223660832626878</v>
      </c>
      <c r="D26" s="232" t="s">
        <v>651</v>
      </c>
      <c r="F26" s="6"/>
    </row>
    <row r="27" spans="1:18">
      <c r="A27" s="227" t="s">
        <v>52</v>
      </c>
      <c r="B27" s="33">
        <f>IF(ISERROR(TER_horeca_ele_kWh/1000),0,TER_horeca_ele_kWh/1000)</f>
        <v>48192.042999999998</v>
      </c>
      <c r="C27" s="39">
        <f>IF(ISERROR(B27*3.6/1000000/'E Balans VL '!Z9*100),0,B27*3.6/1000000/'E Balans VL '!Z9*100)</f>
        <v>3.8726060071701598</v>
      </c>
      <c r="D27" s="232" t="s">
        <v>651</v>
      </c>
      <c r="F27" s="6"/>
    </row>
    <row r="28" spans="1:18">
      <c r="A28" s="167" t="s">
        <v>51</v>
      </c>
      <c r="B28" s="33">
        <f>IF(ISERROR(TER_handel_ele_kWh/1000),0,TER_handel_ele_kWh/1000)</f>
        <v>76185.714999999997</v>
      </c>
      <c r="C28" s="39">
        <f>IF(ISERROR(B28*3.6/1000000/'E Balans VL '!Z13*100),0,B28*3.6/1000000/'E Balans VL '!Z13*100)</f>
        <v>2.2501548362058932</v>
      </c>
      <c r="D28" s="232" t="s">
        <v>651</v>
      </c>
      <c r="F28" s="6"/>
    </row>
    <row r="29" spans="1:18">
      <c r="A29" s="227" t="s">
        <v>50</v>
      </c>
      <c r="B29" s="33">
        <f>IF(ISERROR(TER_gezond_ele_kWh/1000),0,TER_gezond_ele_kWh/1000)</f>
        <v>30503.608</v>
      </c>
      <c r="C29" s="39">
        <f>IF(ISERROR(B29*3.6/1000000/'E Balans VL '!Z10*100),0,B29*3.6/1000000/'E Balans VL '!Z10*100)</f>
        <v>3.488575410532968</v>
      </c>
      <c r="D29" s="232" t="s">
        <v>651</v>
      </c>
      <c r="F29" s="6"/>
    </row>
    <row r="30" spans="1:18">
      <c r="A30" s="227" t="s">
        <v>49</v>
      </c>
      <c r="B30" s="33">
        <f>IF(ISERROR(TER_ander_ele_kWh/1000),0,TER_ander_ele_kWh/1000)</f>
        <v>30883.445</v>
      </c>
      <c r="C30" s="39">
        <f>IF(ISERROR(B30*3.6/1000000/'E Balans VL '!Z14*100),0,B30*3.6/1000000/'E Balans VL '!Z14*100)</f>
        <v>1.4432477339693959</v>
      </c>
      <c r="D30" s="232" t="s">
        <v>651</v>
      </c>
      <c r="F30" s="6"/>
    </row>
    <row r="31" spans="1:18">
      <c r="A31" s="227" t="s">
        <v>54</v>
      </c>
      <c r="B31" s="33">
        <f>IF(ISERROR(TER_onderwijs_ele_kWh/1000),0,TER_onderwijs_ele_kWh/1000)</f>
        <v>16798.073</v>
      </c>
      <c r="C31" s="39">
        <f>IF(ISERROR(B31*3.6/1000000/'E Balans VL '!Z11*100),0,B31*3.6/1000000/'E Balans VL '!Z11*100)</f>
        <v>4.4358429872851382</v>
      </c>
      <c r="D31" s="232" t="s">
        <v>651</v>
      </c>
    </row>
    <row r="32" spans="1:18">
      <c r="A32" s="227" t="s">
        <v>249</v>
      </c>
      <c r="B32" s="33">
        <f>IF(ISERROR(TER_rest_ele_kWh/1000),0,TER_rest_ele_kWh/1000)</f>
        <v>16393.190999999999</v>
      </c>
      <c r="C32" s="39">
        <f>IF(ISERROR(B32*3.6/1000000/'E Balans VL '!Z8*100),0,B32*3.6/1000000/'E Balans VL '!Z8*100)</f>
        <v>0.1400553186349815</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17</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104904.1876</v>
      </c>
      <c r="C5" s="17">
        <f>IF(ISERROR('Eigen informatie GS &amp; warmtenet'!B59),0,'Eigen informatie GS &amp; warmtenet'!B59)</f>
        <v>0</v>
      </c>
      <c r="D5" s="30">
        <f>SUM(D6:D15)</f>
        <v>168861.97144732796</v>
      </c>
      <c r="E5" s="17">
        <f>SUM(E6:E15)</f>
        <v>6461.1998840453907</v>
      </c>
      <c r="F5" s="17">
        <f>SUM(F6:F15)</f>
        <v>64702.104315475503</v>
      </c>
      <c r="G5" s="18"/>
      <c r="H5" s="17"/>
      <c r="I5" s="17"/>
      <c r="J5" s="17">
        <f>SUM(J6:J15)</f>
        <v>755.75959388470392</v>
      </c>
      <c r="K5" s="17"/>
      <c r="L5" s="17"/>
      <c r="M5" s="17"/>
      <c r="N5" s="17">
        <f>SUM(N6:N15)</f>
        <v>15843.816049351106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3.9830000000000001</v>
      </c>
      <c r="C7" s="33"/>
      <c r="D7" s="37">
        <f>IF( ISERROR(IND_nonf_gas_kWhh/1000),0,IND_nonf_gas_kWh/1000)*0.902</f>
        <v>0</v>
      </c>
      <c r="E7" s="33">
        <f>C29*'E Balans VL '!I17/100/3.6*1000000</f>
        <v>1.7080520965609608E-2</v>
      </c>
      <c r="F7" s="33">
        <f>C29*'E Balans VL '!L17/100/3.6*1000000+C29*'E Balans VL '!N17/100/3.6*1000000</f>
        <v>0.7897538389543356</v>
      </c>
      <c r="G7" s="34"/>
      <c r="H7" s="33"/>
      <c r="I7" s="33"/>
      <c r="J7" s="40">
        <f>C29*'E Balans VL '!D17/100/3.6*1000000+C29*'E Balans VL '!E17/100/3.6*1000000</f>
        <v>1.8695345875348783</v>
      </c>
      <c r="K7" s="33"/>
      <c r="L7" s="33"/>
      <c r="M7" s="33"/>
      <c r="N7" s="33">
        <f>C29*'E Balans VL '!Y17/100/3.6*1000000</f>
        <v>0</v>
      </c>
      <c r="O7" s="33"/>
      <c r="P7" s="33"/>
      <c r="R7" s="32"/>
    </row>
    <row r="8" spans="1:18">
      <c r="A8" s="6" t="s">
        <v>35</v>
      </c>
      <c r="B8" s="37">
        <f t="shared" si="0"/>
        <v>5703.6480000000001</v>
      </c>
      <c r="C8" s="33"/>
      <c r="D8" s="37">
        <f>IF( ISERROR(IND_metaal_Gas_kWH/1000),0,IND_metaal_Gas_kWH/1000)*0.902</f>
        <v>5946.9627494361539</v>
      </c>
      <c r="E8" s="33">
        <f>C30*'E Balans VL '!I18/100/3.6*1000000</f>
        <v>142.74234709966524</v>
      </c>
      <c r="F8" s="33">
        <f>C30*'E Balans VL '!L18/100/3.6*1000000+C30*'E Balans VL '!N18/100/3.6*1000000</f>
        <v>1787.5516546042356</v>
      </c>
      <c r="G8" s="34"/>
      <c r="H8" s="33"/>
      <c r="I8" s="33"/>
      <c r="J8" s="40">
        <f>C30*'E Balans VL '!D18/100/3.6*1000000+C30*'E Balans VL '!E18/100/3.6*1000000</f>
        <v>0</v>
      </c>
      <c r="K8" s="33"/>
      <c r="L8" s="33"/>
      <c r="M8" s="33"/>
      <c r="N8" s="33">
        <f>C30*'E Balans VL '!Y18/100/3.6*1000000</f>
        <v>143.2904400173268</v>
      </c>
      <c r="O8" s="33"/>
      <c r="P8" s="33"/>
      <c r="R8" s="32"/>
    </row>
    <row r="9" spans="1:18">
      <c r="A9" s="6" t="s">
        <v>32</v>
      </c>
      <c r="B9" s="37">
        <f t="shared" si="0"/>
        <v>11719.938</v>
      </c>
      <c r="C9" s="33"/>
      <c r="D9" s="37">
        <f>IF( ISERROR(IND_andere_gas_kWh/1000),0,IND_andere_gas_kWh/1000)*0.902</f>
        <v>8804.3095404002088</v>
      </c>
      <c r="E9" s="33">
        <f>C31*'E Balans VL '!I19/100/3.6*1000000</f>
        <v>3222.502256091369</v>
      </c>
      <c r="F9" s="33">
        <f>C31*'E Balans VL '!L19/100/3.6*1000000+C31*'E Balans VL '!N19/100/3.6*1000000</f>
        <v>9237.35055963788</v>
      </c>
      <c r="G9" s="34"/>
      <c r="H9" s="33"/>
      <c r="I9" s="33"/>
      <c r="J9" s="40">
        <f>C31*'E Balans VL '!D19/100/3.6*1000000+C31*'E Balans VL '!E19/100/3.6*1000000</f>
        <v>0</v>
      </c>
      <c r="K9" s="33"/>
      <c r="L9" s="33"/>
      <c r="M9" s="33"/>
      <c r="N9" s="33">
        <f>C31*'E Balans VL '!Y19/100/3.6*1000000</f>
        <v>944.16559066307468</v>
      </c>
      <c r="O9" s="33"/>
      <c r="P9" s="33"/>
      <c r="R9" s="32"/>
    </row>
    <row r="10" spans="1:18">
      <c r="A10" s="6" t="s">
        <v>40</v>
      </c>
      <c r="B10" s="37">
        <f t="shared" si="0"/>
        <v>21555.233</v>
      </c>
      <c r="C10" s="33"/>
      <c r="D10" s="37">
        <f>IF( ISERROR(IND_voed_gas_kWh/1000),0,IND_voed_gas_kWh/1000)*0.902</f>
        <v>9118.2732739277999</v>
      </c>
      <c r="E10" s="33">
        <f>C32*'E Balans VL '!I20/100/3.6*1000000</f>
        <v>219.74372558938214</v>
      </c>
      <c r="F10" s="33">
        <f>C32*'E Balans VL '!L20/100/3.6*1000000+C32*'E Balans VL '!N20/100/3.6*1000000</f>
        <v>40717.7003220314</v>
      </c>
      <c r="G10" s="34"/>
      <c r="H10" s="33"/>
      <c r="I10" s="33"/>
      <c r="J10" s="40">
        <f>C32*'E Balans VL '!D20/100/3.6*1000000+C32*'E Balans VL '!E20/100/3.6*1000000</f>
        <v>515.88725473168904</v>
      </c>
      <c r="K10" s="33"/>
      <c r="L10" s="33"/>
      <c r="M10" s="33"/>
      <c r="N10" s="33">
        <f>C32*'E Balans VL '!Y20/100/3.6*1000000</f>
        <v>11362.090649384651</v>
      </c>
      <c r="O10" s="33"/>
      <c r="P10" s="33"/>
      <c r="R10" s="32"/>
    </row>
    <row r="11" spans="1:18">
      <c r="A11" s="6" t="s">
        <v>39</v>
      </c>
      <c r="B11" s="37">
        <f t="shared" si="0"/>
        <v>267.8066</v>
      </c>
      <c r="C11" s="33"/>
      <c r="D11" s="37">
        <f>IF( ISERROR(IND_textiel_gas_kWh/1000),0,IND_textiel_gas_kWh/1000)*0.902</f>
        <v>315.77080195496967</v>
      </c>
      <c r="E11" s="33">
        <f>C33*'E Balans VL '!I21/100/3.6*1000000</f>
        <v>0.7098185056759887</v>
      </c>
      <c r="F11" s="33">
        <f>C33*'E Balans VL '!L21/100/3.6*1000000+C33*'E Balans VL '!N21/100/3.6*1000000</f>
        <v>11.960519019078994</v>
      </c>
      <c r="G11" s="34"/>
      <c r="H11" s="33"/>
      <c r="I11" s="33"/>
      <c r="J11" s="40">
        <f>C33*'E Balans VL '!D21/100/3.6*1000000+C33*'E Balans VL '!E21/100/3.6*1000000</f>
        <v>0</v>
      </c>
      <c r="K11" s="33"/>
      <c r="L11" s="33"/>
      <c r="M11" s="33"/>
      <c r="N11" s="33">
        <f>C33*'E Balans VL '!Y21/100/3.6*1000000</f>
        <v>2.5238857655648061</v>
      </c>
      <c r="O11" s="33"/>
      <c r="P11" s="33"/>
      <c r="R11" s="32"/>
    </row>
    <row r="12" spans="1:18">
      <c r="A12" s="6" t="s">
        <v>36</v>
      </c>
      <c r="B12" s="37">
        <f t="shared" si="0"/>
        <v>2138.8589999999999</v>
      </c>
      <c r="C12" s="33"/>
      <c r="D12" s="37">
        <f>IF( ISERROR(IND_min_gas_kWh/1000),0,IND_min_gas_kWh/1000)*0.902</f>
        <v>47.594834761753624</v>
      </c>
      <c r="E12" s="33">
        <f>C34*'E Balans VL '!I22/100/3.6*1000000</f>
        <v>6.4776363918583542</v>
      </c>
      <c r="F12" s="33">
        <f>C34*'E Balans VL '!L22/100/3.6*1000000+C34*'E Balans VL '!N22/100/3.6*1000000</f>
        <v>66.8411826043058</v>
      </c>
      <c r="G12" s="34"/>
      <c r="H12" s="33"/>
      <c r="I12" s="33"/>
      <c r="J12" s="40">
        <f>C34*'E Balans VL '!D22/100/3.6*1000000+C34*'E Balans VL '!E22/100/3.6*1000000</f>
        <v>3.1714530947681006</v>
      </c>
      <c r="K12" s="33"/>
      <c r="L12" s="33"/>
      <c r="M12" s="33"/>
      <c r="N12" s="33">
        <f>C34*'E Balans VL '!Y22/100/3.6*1000000</f>
        <v>0</v>
      </c>
      <c r="O12" s="33"/>
      <c r="P12" s="33"/>
      <c r="R12" s="32"/>
    </row>
    <row r="13" spans="1:18">
      <c r="A13" s="6" t="s">
        <v>38</v>
      </c>
      <c r="B13" s="37">
        <f t="shared" si="0"/>
        <v>4086.4949999999999</v>
      </c>
      <c r="C13" s="33"/>
      <c r="D13" s="37">
        <f>IF( ISERROR(IND_papier_gas_kWh/1000),0,IND_papier_gas_kWh/1000)*0.902</f>
        <v>1432.5576657221734</v>
      </c>
      <c r="E13" s="33">
        <f>C35*'E Balans VL '!I23/100/3.6*1000000</f>
        <v>8.4634069767705871</v>
      </c>
      <c r="F13" s="33">
        <f>C35*'E Balans VL '!L23/100/3.6*1000000+C35*'E Balans VL '!N23/100/3.6*1000000</f>
        <v>81.043956598968833</v>
      </c>
      <c r="G13" s="34"/>
      <c r="H13" s="33"/>
      <c r="I13" s="33"/>
      <c r="J13" s="40">
        <f>C35*'E Balans VL '!D23/100/3.6*1000000+C35*'E Balans VL '!E23/100/3.6*1000000</f>
        <v>0</v>
      </c>
      <c r="K13" s="33"/>
      <c r="L13" s="33"/>
      <c r="M13" s="33"/>
      <c r="N13" s="33">
        <f>C35*'E Balans VL '!Y23/100/3.6*1000000</f>
        <v>283.41908363051368</v>
      </c>
      <c r="O13" s="33"/>
      <c r="P13" s="33"/>
      <c r="R13" s="32"/>
    </row>
    <row r="14" spans="1:18">
      <c r="A14" s="6" t="s">
        <v>33</v>
      </c>
      <c r="B14" s="37">
        <f t="shared" si="0"/>
        <v>3453.7649999999999</v>
      </c>
      <c r="C14" s="33"/>
      <c r="D14" s="37">
        <f>IF( ISERROR(IND_chemie_gas_kWh/1000),0,IND_chemie_gas_kWh/1000)*0.902</f>
        <v>0</v>
      </c>
      <c r="E14" s="33">
        <f>C36*'E Balans VL '!I24/100/3.6*1000000</f>
        <v>12.948732587833913</v>
      </c>
      <c r="F14" s="33">
        <f>C36*'E Balans VL '!L24/100/3.6*1000000+C36*'E Balans VL '!N24/100/3.6*1000000</f>
        <v>40.180938018459578</v>
      </c>
      <c r="G14" s="34"/>
      <c r="H14" s="33"/>
      <c r="I14" s="33"/>
      <c r="J14" s="40">
        <f>C36*'E Balans VL '!D24/100/3.6*1000000+C36*'E Balans VL '!E24/100/3.6*1000000</f>
        <v>0</v>
      </c>
      <c r="K14" s="33"/>
      <c r="L14" s="33"/>
      <c r="M14" s="33"/>
      <c r="N14" s="33">
        <f>C36*'E Balans VL '!Y24/100/3.6*1000000</f>
        <v>59.005917495805328</v>
      </c>
      <c r="O14" s="33"/>
      <c r="P14" s="33"/>
      <c r="R14" s="32"/>
    </row>
    <row r="15" spans="1:18">
      <c r="A15" s="6" t="s">
        <v>259</v>
      </c>
      <c r="B15" s="37">
        <f t="shared" si="0"/>
        <v>55974.46</v>
      </c>
      <c r="C15" s="33"/>
      <c r="D15" s="37">
        <f>IF( ISERROR(IND_rest_gas_kWh/1000),0,IND_rest_gas_kWh/1000)*0.902</f>
        <v>143196.50258112489</v>
      </c>
      <c r="E15" s="33">
        <f>C37*'E Balans VL '!I15/100/3.6*1000000</f>
        <v>2847.5948802818698</v>
      </c>
      <c r="F15" s="33">
        <f>C37*'E Balans VL '!L15/100/3.6*1000000+C37*'E Balans VL '!N15/100/3.6*1000000</f>
        <v>12758.685429122223</v>
      </c>
      <c r="G15" s="34"/>
      <c r="H15" s="33"/>
      <c r="I15" s="33"/>
      <c r="J15" s="40">
        <f>C37*'E Balans VL '!D15/100/3.6*1000000+C37*'E Balans VL '!E15/100/3.6*1000000</f>
        <v>234.83135147071181</v>
      </c>
      <c r="K15" s="33"/>
      <c r="L15" s="33"/>
      <c r="M15" s="33"/>
      <c r="N15" s="33">
        <f>C37*'E Balans VL '!Y15/100/3.6*1000000</f>
        <v>3049.320482394171</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104904.1876</v>
      </c>
      <c r="C18" s="21">
        <f>C5+C16</f>
        <v>0</v>
      </c>
      <c r="D18" s="21">
        <f>MAX((D5+D16),0)</f>
        <v>168861.97144732796</v>
      </c>
      <c r="E18" s="21">
        <f>MAX((E5+E16),0)</f>
        <v>6461.1998840453907</v>
      </c>
      <c r="F18" s="21">
        <f>MAX((F5+F16),0)</f>
        <v>64702.104315475503</v>
      </c>
      <c r="G18" s="21"/>
      <c r="H18" s="21"/>
      <c r="I18" s="21"/>
      <c r="J18" s="21">
        <f>MAX((J5+J16),0)</f>
        <v>755.75959388470392</v>
      </c>
      <c r="K18" s="21"/>
      <c r="L18" s="21">
        <f>MAX((L5+L16),0)</f>
        <v>0</v>
      </c>
      <c r="M18" s="21"/>
      <c r="N18" s="21">
        <f>MAX((N5+N16),0)</f>
        <v>15843.816049351106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0.19039064025187272</v>
      </c>
      <c r="C20" s="25">
        <f ca="1">'EF ele_warmte'!B22</f>
        <v>0.23355473554735551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19972.775442266568</v>
      </c>
      <c r="C22" s="23">
        <f ca="1">C18*C20</f>
        <v>0</v>
      </c>
      <c r="D22" s="23">
        <f>D18*D20</f>
        <v>34110.118232360248</v>
      </c>
      <c r="E22" s="23">
        <f>E18*E20</f>
        <v>1466.6923736783037</v>
      </c>
      <c r="F22" s="23">
        <f>F18*F20</f>
        <v>17275.461852231962</v>
      </c>
      <c r="G22" s="23"/>
      <c r="H22" s="23"/>
      <c r="I22" s="23"/>
      <c r="J22" s="23">
        <f>J18*J20</f>
        <v>267.53889623518518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3.9830000000000001</v>
      </c>
      <c r="C29" s="39">
        <f>IF(ISERROR(B29*3.6/1000000/'E Balans VL '!Z17*100),0,B29*3.6/1000000/'E Balans VL '!Z17*100)</f>
        <v>4.484652209535118E-3</v>
      </c>
      <c r="D29" s="232" t="s">
        <v>651</v>
      </c>
    </row>
    <row r="30" spans="1:18">
      <c r="A30" s="167" t="s">
        <v>35</v>
      </c>
      <c r="B30" s="37">
        <f>IF( ISERROR(IND_metaal_ele_kWh/1000),0,IND_metaal_ele_kWh/1000)</f>
        <v>5703.6480000000001</v>
      </c>
      <c r="C30" s="39">
        <f>IF(ISERROR(B30*3.6/1000000/'E Balans VL '!Z18*100),0,B30*3.6/1000000/'E Balans VL '!Z18*100)</f>
        <v>0.79832064383057055</v>
      </c>
      <c r="D30" s="232" t="s">
        <v>651</v>
      </c>
    </row>
    <row r="31" spans="1:18">
      <c r="A31" s="6" t="s">
        <v>32</v>
      </c>
      <c r="B31" s="37">
        <f>IF( ISERROR(IND_ander_ele_kWh/1000),0,IND_ander_ele_kWh/1000)</f>
        <v>11719.938</v>
      </c>
      <c r="C31" s="39">
        <f>IF(ISERROR(B31*3.6/1000000/'E Balans VL '!Z19*100),0,B31*3.6/1000000/'E Balans VL '!Z19*100)</f>
        <v>0.51297978501593833</v>
      </c>
      <c r="D31" s="232" t="s">
        <v>651</v>
      </c>
    </row>
    <row r="32" spans="1:18">
      <c r="A32" s="167" t="s">
        <v>40</v>
      </c>
      <c r="B32" s="37">
        <f>IF( ISERROR(IND_voed_ele_kWh/1000),0,IND_voed_ele_kWh/1000)</f>
        <v>21555.233</v>
      </c>
      <c r="C32" s="39">
        <f>IF(ISERROR(B32*3.6/1000000/'E Balans VL '!Z20*100),0,B32*3.6/1000000/'E Balans VL '!Z20*100)</f>
        <v>5.3363598768199383</v>
      </c>
      <c r="D32" s="232" t="s">
        <v>651</v>
      </c>
    </row>
    <row r="33" spans="1:5">
      <c r="A33" s="167" t="s">
        <v>39</v>
      </c>
      <c r="B33" s="37">
        <f>IF( ISERROR(IND_textiel_ele_kWh/1000),0,IND_textiel_ele_kWh/1000)</f>
        <v>267.8066</v>
      </c>
      <c r="C33" s="39">
        <f>IF(ISERROR(B33*3.6/1000000/'E Balans VL '!Z21*100),0,B33*3.6/1000000/'E Balans VL '!Z21*100)</f>
        <v>3.0177086363278972E-2</v>
      </c>
      <c r="D33" s="232" t="s">
        <v>651</v>
      </c>
    </row>
    <row r="34" spans="1:5">
      <c r="A34" s="167" t="s">
        <v>36</v>
      </c>
      <c r="B34" s="37">
        <f>IF( ISERROR(IND_min_ele_kWh/1000),0,IND_min_ele_kWh/1000)</f>
        <v>2138.8589999999999</v>
      </c>
      <c r="C34" s="39">
        <f>IF(ISERROR(B34*3.6/1000000/'E Balans VL '!Z22*100),0,B34*3.6/1000000/'E Balans VL '!Z22*100)</f>
        <v>6.0692092344258187E-2</v>
      </c>
      <c r="D34" s="232" t="s">
        <v>651</v>
      </c>
    </row>
    <row r="35" spans="1:5">
      <c r="A35" s="167" t="s">
        <v>38</v>
      </c>
      <c r="B35" s="37">
        <f>IF( ISERROR(IND_papier_ele_kWh/1000),0,IND_papier_ele_kWh/1000)</f>
        <v>4086.4949999999999</v>
      </c>
      <c r="C35" s="39">
        <f>IF(ISERROR(B35*3.6/1000000/'E Balans VL '!Z22*100),0,B35*3.6/1000000/'E Balans VL '!Z22*100)</f>
        <v>0.11595805609642776</v>
      </c>
      <c r="D35" s="232" t="s">
        <v>651</v>
      </c>
    </row>
    <row r="36" spans="1:5">
      <c r="A36" s="167" t="s">
        <v>33</v>
      </c>
      <c r="B36" s="37">
        <f>IF( ISERROR(IND_chemie_ele_kWh/1000),0,IND_chemie_ele_kWh/1000)</f>
        <v>3453.7649999999999</v>
      </c>
      <c r="C36" s="39">
        <f>IF(ISERROR(B36*3.6/1000000/'E Balans VL '!Z24*100),0,B36*3.6/1000000/'E Balans VL '!Z24*100)</f>
        <v>8.8065735890971109E-2</v>
      </c>
      <c r="D36" s="232" t="s">
        <v>651</v>
      </c>
    </row>
    <row r="37" spans="1:5">
      <c r="A37" s="167" t="s">
        <v>259</v>
      </c>
      <c r="B37" s="37">
        <f>IF( ISERROR(IND_rest_ele_kWh/1000),0,IND_rest_ele_kWh/1000)</f>
        <v>55974.46</v>
      </c>
      <c r="C37" s="39">
        <f>IF(ISERROR(B37*3.6/1000000/'E Balans VL '!Z15*100),0,B37*3.6/1000000/'E Balans VL '!Z15*100)</f>
        <v>0.41504103766691969</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7605.6634999999997</v>
      </c>
      <c r="C5" s="17">
        <f>'Eigen informatie GS &amp; warmtenet'!B60</f>
        <v>0</v>
      </c>
      <c r="D5" s="30">
        <f>IF(ISERROR(SUM(LB_lb_gas_kWh,LB_rest_gas_kWh)/1000),0,SUM(LB_lb_gas_kWh,LB_rest_gas_kWh)/1000)*0.902</f>
        <v>13344.537137474988</v>
      </c>
      <c r="E5" s="17">
        <f>B17*'E Balans VL '!I25/3.6*1000000/100</f>
        <v>163.09234489348918</v>
      </c>
      <c r="F5" s="17">
        <f>B17*('E Balans VL '!L25/3.6*1000000+'E Balans VL '!N25/3.6*1000000)/100</f>
        <v>24670.335281392312</v>
      </c>
      <c r="G5" s="18"/>
      <c r="H5" s="17"/>
      <c r="I5" s="17"/>
      <c r="J5" s="17">
        <f>('E Balans VL '!D25+'E Balans VL '!E25)/3.6*1000000*landbouw!B17/100</f>
        <v>732.80969766910926</v>
      </c>
      <c r="K5" s="17"/>
      <c r="L5" s="17">
        <f>L6*(-1)</f>
        <v>0</v>
      </c>
      <c r="M5" s="17"/>
      <c r="N5" s="17">
        <f>N6*(-1)</f>
        <v>0</v>
      </c>
      <c r="O5" s="17"/>
      <c r="P5" s="17"/>
      <c r="R5" s="32"/>
    </row>
    <row r="6" spans="1:18">
      <c r="A6" s="16" t="s">
        <v>480</v>
      </c>
      <c r="B6" s="17" t="s">
        <v>204</v>
      </c>
      <c r="C6" s="17">
        <f>'lokale energieproductie'!O40+'lokale energieproductie'!O33</f>
        <v>57.857142857142861</v>
      </c>
      <c r="D6" s="300">
        <f>('lokale energieproductie'!P33+'lokale energieproductie'!P40)*(-1)</f>
        <v>-100.71428571428572</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7605.6634999999997</v>
      </c>
      <c r="C8" s="21">
        <f>C5+C6</f>
        <v>57.857142857142861</v>
      </c>
      <c r="D8" s="21">
        <f>MAX((D5+D6),0)</f>
        <v>13243.822851760702</v>
      </c>
      <c r="E8" s="21">
        <f>MAX((E5+E6),0)</f>
        <v>163.09234489348918</v>
      </c>
      <c r="F8" s="21">
        <f>MAX((F5+F6),0)</f>
        <v>24670.335281392312</v>
      </c>
      <c r="G8" s="21"/>
      <c r="H8" s="21"/>
      <c r="I8" s="21"/>
      <c r="J8" s="21">
        <f>MAX((J5+J6),0)</f>
        <v>732.80969766910926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0.19039064025187272</v>
      </c>
      <c r="C10" s="31">
        <f ca="1">'EF ele_warmte'!B22</f>
        <v>0.23355473554735551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1448.047143305299</v>
      </c>
      <c r="C12" s="23">
        <f ca="1">C8*C10</f>
        <v>13.512809699525569</v>
      </c>
      <c r="D12" s="23">
        <f>D8*D10</f>
        <v>2675.2522160556618</v>
      </c>
      <c r="E12" s="23">
        <f>E8*E10</f>
        <v>37.021962290822046</v>
      </c>
      <c r="F12" s="23">
        <f>F8*F10</f>
        <v>6586.9795201317474</v>
      </c>
      <c r="G12" s="23"/>
      <c r="H12" s="23"/>
      <c r="I12" s="23"/>
      <c r="J12" s="23">
        <f>J8*J10</f>
        <v>259.41463297486467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1.0813640817587864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514.37849018020859</v>
      </c>
      <c r="C26" s="242">
        <f>B26*'GWP N2O_CH4'!B5</f>
        <v>10801.94829378438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162.25272841510156</v>
      </c>
      <c r="C27" s="242">
        <f>B27*'GWP N2O_CH4'!B5</f>
        <v>3407.3072967171329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8.8159412862895561</v>
      </c>
      <c r="C28" s="242">
        <f>B28*'GWP N2O_CH4'!B4</f>
        <v>2732.9417987497623</v>
      </c>
      <c r="D28" s="50"/>
    </row>
    <row r="29" spans="1:4">
      <c r="A29" s="41" t="s">
        <v>266</v>
      </c>
      <c r="B29" s="242">
        <f>B34*'ha_N2O bodem landbouw'!B4</f>
        <v>30.007495140022652</v>
      </c>
      <c r="C29" s="242">
        <f>B29*'GWP N2O_CH4'!B4</f>
        <v>9302.3234934070224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6.7301525085518817E-3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4.102551887863816E-4</v>
      </c>
      <c r="C5" s="428" t="s">
        <v>204</v>
      </c>
      <c r="D5" s="413">
        <f>SUM(D6:D11)</f>
        <v>6.4792418760616305E-4</v>
      </c>
      <c r="E5" s="413">
        <f>SUM(E6:E11)</f>
        <v>6.3834435112329257E-3</v>
      </c>
      <c r="F5" s="426" t="s">
        <v>204</v>
      </c>
      <c r="G5" s="413">
        <f>SUM(G6:G11)</f>
        <v>2.1675541638622553</v>
      </c>
      <c r="H5" s="413">
        <f>SUM(H6:H11)</f>
        <v>0.39809656176658653</v>
      </c>
      <c r="I5" s="428" t="s">
        <v>204</v>
      </c>
      <c r="J5" s="428" t="s">
        <v>204</v>
      </c>
      <c r="K5" s="428" t="s">
        <v>204</v>
      </c>
      <c r="L5" s="428" t="s">
        <v>204</v>
      </c>
      <c r="M5" s="413">
        <f>SUM(M6:M11)</f>
        <v>0.13781170169705742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2.6595003862325904E-4</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4.0222995590426936E-4</v>
      </c>
      <c r="E6" s="819">
        <f>vkm_GW_PW*SUMIFS(TableVerdeelsleutelVkm[LPG],TableVerdeelsleutelVkm[Voertuigtype],"Lichte voertuigen")*SUMIFS(TableECFTransport[EnergieConsumptieFactor (PJ per km)],TableECFTransport[Index],CONCATENATE($A6,"_LPG_LPG"))</f>
        <v>3.9292997398476465E-3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0.9123297262884652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0.24850133887112305</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6.0474283149637077E-2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1.3832682165208197E-5</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0.53090128340192411</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1.1896179858694826E-5</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3.0780504986331381E-2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8.0601854546796792E-5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1.8358121539550557E-4</v>
      </c>
      <c r="E8" s="416">
        <f>vkm_NGW_PW*SUMIFS(TableVerdeelsleutelVkm[LPG],TableVerdeelsleutelVkm[Voertuigtype],"Lichte voertuigen")*SUMIFS(TableECFTransport[EnergieConsumptieFactor (PJ per km)],TableECFTransport[Index],CONCATENATE($A8,"_LPG_LPG"))</f>
        <v>1.7054525613554707E-3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0.36909509885521541</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0.10930290880163807</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2.473313516126243E-2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1.4763133443734211E-6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7.2799143431969054E-2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1.5324845861079013E-6</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4.220733435925275E-3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4.4991096577956675E-5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6.2113016306388172E-5</v>
      </c>
      <c r="E10" s="416">
        <f>vkm_SW_PW*SUMIFS(TableVerdeelsleutelVkm[LPG],TableVerdeelsleutelVkm[Voertuigtype],"Lichte voertuigen")*SUMIFS(TableECFTransport[EnergieConsumptieFactor (PJ per km)],TableECFTransport[Index],CONCATENATE($A10,"_LPG_LPG"))</f>
        <v>7.4869121002980909E-4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0.15792275150644722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4.0275872981889088E-2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1.0384441026547446E-2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3.4032035287875077E-6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0.12450616037823448</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3.0124474915371999E-6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7.2186039373538036E-3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113.95977466288379</v>
      </c>
      <c r="C14" s="21"/>
      <c r="D14" s="21">
        <f t="shared" ref="D14:M14" si="0">((D5)*10^9/3600)+D12</f>
        <v>179.97894100171197</v>
      </c>
      <c r="E14" s="21">
        <f t="shared" si="0"/>
        <v>1773.1787531202572</v>
      </c>
      <c r="F14" s="21"/>
      <c r="G14" s="21">
        <f t="shared" si="0"/>
        <v>602098.37885062641</v>
      </c>
      <c r="H14" s="21">
        <f t="shared" si="0"/>
        <v>110582.37826849626</v>
      </c>
      <c r="I14" s="21"/>
      <c r="J14" s="21"/>
      <c r="K14" s="21"/>
      <c r="L14" s="21"/>
      <c r="M14" s="21">
        <f t="shared" si="0"/>
        <v>38281.028249182622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0.19039064025187272</v>
      </c>
      <c r="C16" s="56">
        <f ca="1">'EF ele_warmte'!B22</f>
        <v>0.23355473554735551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21.696874461025587</v>
      </c>
      <c r="C18" s="23"/>
      <c r="D18" s="23">
        <f t="shared" ref="D18:M18" si="1">D14*D16</f>
        <v>36.355746082345824</v>
      </c>
      <c r="E18" s="23">
        <f t="shared" si="1"/>
        <v>402.51157695829841</v>
      </c>
      <c r="F18" s="23"/>
      <c r="G18" s="23">
        <f t="shared" si="1"/>
        <v>160760.26715311725</v>
      </c>
      <c r="H18" s="23">
        <f t="shared" si="1"/>
        <v>27535.01218885557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3.3627857872251007E-3</v>
      </c>
      <c r="C50" s="311">
        <f t="shared" ref="C50:P50" si="2">SUM(C51:C52)</f>
        <v>0</v>
      </c>
      <c r="D50" s="311">
        <f t="shared" si="2"/>
        <v>0</v>
      </c>
      <c r="E50" s="311">
        <f t="shared" si="2"/>
        <v>0</v>
      </c>
      <c r="F50" s="311">
        <f t="shared" si="2"/>
        <v>0</v>
      </c>
      <c r="G50" s="311">
        <f t="shared" si="2"/>
        <v>7.8609149161950262E-2</v>
      </c>
      <c r="H50" s="311">
        <f t="shared" si="2"/>
        <v>0</v>
      </c>
      <c r="I50" s="311">
        <f t="shared" si="2"/>
        <v>0</v>
      </c>
      <c r="J50" s="311">
        <f t="shared" si="2"/>
        <v>0</v>
      </c>
      <c r="K50" s="311">
        <f t="shared" si="2"/>
        <v>0</v>
      </c>
      <c r="L50" s="311">
        <f t="shared" si="2"/>
        <v>0</v>
      </c>
      <c r="M50" s="311">
        <f t="shared" si="2"/>
        <v>4.5253743316582811E-3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4.1485288417687793E-4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7.8609149161950262E-2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4.5253743316582811E-3</v>
      </c>
      <c r="N51" s="313"/>
      <c r="O51" s="313"/>
      <c r="P51" s="316"/>
    </row>
    <row r="52" spans="1:18">
      <c r="A52" s="4" t="s">
        <v>318</v>
      </c>
      <c r="B52" s="820">
        <f>vkm_tram*SUMIFS(TableECFTransport[EnergieConsumptieFactor (PJ per km)],TableECFTransport[Index],"Tram_gemiddeld_Electric_Electric")</f>
        <v>2.9479329030482229E-3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934.10716311808358</v>
      </c>
      <c r="C54" s="21">
        <f t="shared" ref="C54:P54" si="3">(C50)*10^9/3600</f>
        <v>0</v>
      </c>
      <c r="D54" s="21">
        <f t="shared" si="3"/>
        <v>0</v>
      </c>
      <c r="E54" s="21">
        <f t="shared" si="3"/>
        <v>0</v>
      </c>
      <c r="F54" s="21">
        <f t="shared" si="3"/>
        <v>0</v>
      </c>
      <c r="G54" s="21">
        <f t="shared" si="3"/>
        <v>21835.874767208406</v>
      </c>
      <c r="H54" s="21">
        <f t="shared" si="3"/>
        <v>0</v>
      </c>
      <c r="I54" s="21">
        <f t="shared" si="3"/>
        <v>0</v>
      </c>
      <c r="J54" s="21">
        <f t="shared" si="3"/>
        <v>0</v>
      </c>
      <c r="K54" s="21">
        <f t="shared" si="3"/>
        <v>0</v>
      </c>
      <c r="L54" s="21">
        <f t="shared" si="3"/>
        <v>0</v>
      </c>
      <c r="M54" s="21">
        <f t="shared" si="3"/>
        <v>1257.0484254606338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0.19039064025187272</v>
      </c>
      <c r="C56" s="56">
        <f ca="1">'EF ele_warmte'!B22</f>
        <v>0.23355473554735551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177.84526084991245</v>
      </c>
      <c r="C58" s="23">
        <f t="shared" ref="C58:P58" ca="1" si="4">C54*C56</f>
        <v>0</v>
      </c>
      <c r="D58" s="23">
        <f t="shared" si="4"/>
        <v>0</v>
      </c>
      <c r="E58" s="23">
        <f t="shared" si="4"/>
        <v>0</v>
      </c>
      <c r="F58" s="23">
        <f t="shared" si="4"/>
        <v>0</v>
      </c>
      <c r="G58" s="23">
        <f t="shared" si="4"/>
        <v>5830.1785628446451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58865.205099733474</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30936.756420834943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29.25</v>
      </c>
      <c r="C8" s="535">
        <f>B49</f>
        <v>33.819188191881921</v>
      </c>
      <c r="D8" s="974"/>
      <c r="E8" s="974">
        <f>E49</f>
        <v>0</v>
      </c>
      <c r="F8" s="975"/>
      <c r="G8" s="536"/>
      <c r="H8" s="974">
        <f>I49</f>
        <v>0</v>
      </c>
      <c r="I8" s="974">
        <f>G49+F49</f>
        <v>0</v>
      </c>
      <c r="J8" s="974">
        <f>H49+D49+C49</f>
        <v>0</v>
      </c>
      <c r="K8" s="974"/>
      <c r="L8" s="974"/>
      <c r="M8" s="974"/>
      <c r="N8" s="537"/>
      <c r="O8" s="538">
        <f>C8*$C$12+D8*$D$12+E8*$E$12+F8*$F$12+G8*$G$12+H8*$H$12+I8*$I$12+J8*$J$12</f>
        <v>6.8314760147601481</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89831.211520568409</v>
      </c>
      <c r="C10" s="548">
        <f t="shared" ref="C10:L10" si="0">SUM(C8:C9)</f>
        <v>33.819188191881921</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6.8314760147601481</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57.857142857142861</v>
      </c>
      <c r="C17" s="560">
        <f>B50</f>
        <v>66.895097522403802</v>
      </c>
      <c r="D17" s="561"/>
      <c r="E17" s="561">
        <f>E50</f>
        <v>0</v>
      </c>
      <c r="F17" s="980"/>
      <c r="G17" s="562"/>
      <c r="H17" s="560">
        <f>I50</f>
        <v>0</v>
      </c>
      <c r="I17" s="561">
        <f>G50+F50</f>
        <v>0</v>
      </c>
      <c r="J17" s="561">
        <f>H50+D50+C50</f>
        <v>0</v>
      </c>
      <c r="K17" s="561"/>
      <c r="L17" s="561"/>
      <c r="M17" s="561"/>
      <c r="N17" s="981"/>
      <c r="O17" s="563">
        <f>C17*$C$22+E17*$E$22+H17*$H$22+I17*$I$22+J17*$J$22+D17*$D$22+F17*$F$22+G17*$G$22+K17*$K$22+L17*$L$22</f>
        <v>13.512809699525569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57.857142857142861</v>
      </c>
      <c r="C20" s="547">
        <f>SUM(C17:C19)</f>
        <v>66.895097522403802</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13.512809699525569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31005</v>
      </c>
      <c r="C28" s="725">
        <v>8000</v>
      </c>
      <c r="D28" s="618"/>
      <c r="E28" s="617"/>
      <c r="F28" s="617"/>
      <c r="G28" s="617" t="s">
        <v>904</v>
      </c>
      <c r="H28" s="617" t="s">
        <v>905</v>
      </c>
      <c r="I28" s="617"/>
      <c r="J28" s="724"/>
      <c r="K28" s="724"/>
      <c r="L28" s="617" t="s">
        <v>906</v>
      </c>
      <c r="M28" s="617">
        <v>5.5</v>
      </c>
      <c r="N28" s="617">
        <v>24.75</v>
      </c>
      <c r="O28" s="617">
        <v>35.357142857142861</v>
      </c>
      <c r="P28" s="617">
        <v>70.714285714285722</v>
      </c>
      <c r="Q28" s="617">
        <v>0</v>
      </c>
      <c r="R28" s="617">
        <v>0</v>
      </c>
      <c r="S28" s="617">
        <v>0</v>
      </c>
      <c r="T28" s="617">
        <v>0</v>
      </c>
      <c r="U28" s="617">
        <v>0</v>
      </c>
      <c r="V28" s="617">
        <v>0</v>
      </c>
      <c r="W28" s="617">
        <v>0</v>
      </c>
      <c r="X28" s="617"/>
      <c r="Y28" s="617">
        <v>10</v>
      </c>
      <c r="Z28" s="617" t="s">
        <v>105</v>
      </c>
      <c r="AA28" s="619" t="s">
        <v>105</v>
      </c>
    </row>
    <row r="29" spans="1:27" s="571" customFormat="1" ht="12.75" hidden="1">
      <c r="A29" s="570"/>
      <c r="B29" s="725">
        <v>31005</v>
      </c>
      <c r="C29" s="725">
        <v>8000</v>
      </c>
      <c r="D29" s="618"/>
      <c r="E29" s="617"/>
      <c r="F29" s="617"/>
      <c r="G29" s="617" t="s">
        <v>907</v>
      </c>
      <c r="H29" s="617" t="s">
        <v>907</v>
      </c>
      <c r="I29" s="617"/>
      <c r="J29" s="724"/>
      <c r="K29" s="724"/>
      <c r="L29" s="617" t="s">
        <v>906</v>
      </c>
      <c r="M29" s="617">
        <v>1</v>
      </c>
      <c r="N29" s="617">
        <v>4.5</v>
      </c>
      <c r="O29" s="617">
        <v>22.5</v>
      </c>
      <c r="P29" s="617">
        <v>30</v>
      </c>
      <c r="Q29" s="617">
        <v>0</v>
      </c>
      <c r="R29" s="617">
        <v>0</v>
      </c>
      <c r="S29" s="617">
        <v>0</v>
      </c>
      <c r="T29" s="617">
        <v>0</v>
      </c>
      <c r="U29" s="617">
        <v>0</v>
      </c>
      <c r="V29" s="617">
        <v>0</v>
      </c>
      <c r="W29" s="617">
        <v>0</v>
      </c>
      <c r="X29" s="617"/>
      <c r="Y29" s="617">
        <v>10</v>
      </c>
      <c r="Z29" s="617" t="s">
        <v>105</v>
      </c>
      <c r="AA29" s="619" t="s">
        <v>105</v>
      </c>
    </row>
    <row r="30" spans="1:27" s="555" customFormat="1" hidden="1">
      <c r="A30" s="573" t="s">
        <v>269</v>
      </c>
      <c r="B30" s="574"/>
      <c r="C30" s="574"/>
      <c r="D30" s="574"/>
      <c r="E30" s="574"/>
      <c r="F30" s="574"/>
      <c r="G30" s="574"/>
      <c r="H30" s="574"/>
      <c r="I30" s="574"/>
      <c r="J30" s="574"/>
      <c r="K30" s="574"/>
      <c r="L30" s="575"/>
      <c r="M30" s="575">
        <f>SUM(M28:M29)</f>
        <v>6.5</v>
      </c>
      <c r="N30" s="575">
        <f>SUM(N28:N29)</f>
        <v>29.25</v>
      </c>
      <c r="O30" s="575">
        <f>SUM(O28:O29)</f>
        <v>57.857142857142861</v>
      </c>
      <c r="P30" s="575">
        <f>SUM(P28:P29)</f>
        <v>100.71428571428572</v>
      </c>
      <c r="Q30" s="575">
        <f>SUM(Q28:Q29)</f>
        <v>0</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0</v>
      </c>
      <c r="N32" s="575">
        <f ca="1">SUMIF($AA$28:AE29,"tertiair",N28:N29)</f>
        <v>0</v>
      </c>
      <c r="O32" s="575">
        <f ca="1">SUMIF($AA$28:AF29,"tertiair",O28:O29)</f>
        <v>0</v>
      </c>
      <c r="P32" s="575">
        <f ca="1">SUMIF($AA$28:AG29,"tertiair",P28:P29)</f>
        <v>0</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6.5</v>
      </c>
      <c r="N33" s="580">
        <f>SUMIF($AA$28:$AA$29,"landbouw",N28:N29)</f>
        <v>29.25</v>
      </c>
      <c r="O33" s="580">
        <f>SUMIF($AA$28:$AA$29,"landbouw",O28:O29)</f>
        <v>57.857142857142861</v>
      </c>
      <c r="P33" s="580">
        <f>SUMIF($AA$28:$AA$29,"landbouw",P28:P29)</f>
        <v>100.71428571428572</v>
      </c>
      <c r="Q33" s="580">
        <f>SUMIF($AA$28:$AA$29,"landbouw",Q28:Q29)</f>
        <v>0</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0.66420664206642066</v>
      </c>
      <c r="C46" s="600">
        <f>IF(ISERROR(N30/(O30+N30)),0,N30/(N30+O30))</f>
        <v>0.33579335793357934</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33.819188191881921</v>
      </c>
      <c r="C49" s="609">
        <f t="shared" si="2"/>
        <v>0</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66.895097522403802</v>
      </c>
      <c r="C50" s="612">
        <f t="shared" si="3"/>
        <v>0</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323738.75299999997</v>
      </c>
      <c r="D10" s="943">
        <f ca="1">tertiair!C16</f>
        <v>0</v>
      </c>
      <c r="E10" s="943">
        <f ca="1">tertiair!D16</f>
        <v>327692.51379818149</v>
      </c>
      <c r="F10" s="943">
        <f>tertiair!E16</f>
        <v>3951.1739073156887</v>
      </c>
      <c r="G10" s="943">
        <f ca="1">tertiair!F16</f>
        <v>66461.447870900462</v>
      </c>
      <c r="H10" s="943">
        <f>tertiair!G16</f>
        <v>0</v>
      </c>
      <c r="I10" s="943">
        <f>tertiair!H16</f>
        <v>0</v>
      </c>
      <c r="J10" s="943">
        <f>tertiair!I16</f>
        <v>0</v>
      </c>
      <c r="K10" s="943">
        <f>tertiair!J16</f>
        <v>0</v>
      </c>
      <c r="L10" s="943">
        <f>tertiair!K16</f>
        <v>0</v>
      </c>
      <c r="M10" s="943">
        <f ca="1">tertiair!L16</f>
        <v>0</v>
      </c>
      <c r="N10" s="943">
        <f>tertiair!M16</f>
        <v>0</v>
      </c>
      <c r="O10" s="943">
        <f ca="1">tertiair!N16</f>
        <v>15922.963321285521</v>
      </c>
      <c r="P10" s="943">
        <f>tertiair!O16</f>
        <v>17.196666666666669</v>
      </c>
      <c r="Q10" s="944">
        <f>tertiair!P16</f>
        <v>324.13333333333333</v>
      </c>
      <c r="R10" s="629">
        <f ca="1">SUM(C10:Q10)</f>
        <v>738108.18189768319</v>
      </c>
      <c r="S10" s="67"/>
    </row>
    <row r="11" spans="1:19" s="438" customFormat="1">
      <c r="A11" s="737" t="s">
        <v>214</v>
      </c>
      <c r="B11" s="742"/>
      <c r="C11" s="943">
        <f>huishoudens!B8</f>
        <v>200117.97084147562</v>
      </c>
      <c r="D11" s="943">
        <f>huishoudens!C8</f>
        <v>0</v>
      </c>
      <c r="E11" s="943">
        <f>huishoudens!D8</f>
        <v>554221.97227444605</v>
      </c>
      <c r="F11" s="943">
        <f>huishoudens!E8</f>
        <v>5595.0347288559497</v>
      </c>
      <c r="G11" s="943">
        <f>huishoudens!F8</f>
        <v>176505.89027648602</v>
      </c>
      <c r="H11" s="943">
        <f>huishoudens!G8</f>
        <v>0</v>
      </c>
      <c r="I11" s="943">
        <f>huishoudens!H8</f>
        <v>0</v>
      </c>
      <c r="J11" s="943">
        <f>huishoudens!I8</f>
        <v>0</v>
      </c>
      <c r="K11" s="943">
        <f>huishoudens!J8</f>
        <v>4116.1106934883219</v>
      </c>
      <c r="L11" s="943">
        <f>huishoudens!K8</f>
        <v>0</v>
      </c>
      <c r="M11" s="943">
        <f>huishoudens!L8</f>
        <v>0</v>
      </c>
      <c r="N11" s="943">
        <f>huishoudens!M8</f>
        <v>0</v>
      </c>
      <c r="O11" s="943">
        <f>huishoudens!N8</f>
        <v>57451.751792481635</v>
      </c>
      <c r="P11" s="943">
        <f>huishoudens!O8</f>
        <v>892.66333333333341</v>
      </c>
      <c r="Q11" s="944">
        <f>huishoudens!P8</f>
        <v>972.4</v>
      </c>
      <c r="R11" s="629">
        <f>SUM(C11:Q11)</f>
        <v>999873.79394056695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104904.1876</v>
      </c>
      <c r="D13" s="943">
        <f>industrie!C18</f>
        <v>0</v>
      </c>
      <c r="E13" s="943">
        <f>industrie!D18</f>
        <v>168861.97144732796</v>
      </c>
      <c r="F13" s="943">
        <f>industrie!E18</f>
        <v>6461.1998840453907</v>
      </c>
      <c r="G13" s="943">
        <f>industrie!F18</f>
        <v>64702.104315475503</v>
      </c>
      <c r="H13" s="943">
        <f>industrie!G18</f>
        <v>0</v>
      </c>
      <c r="I13" s="943">
        <f>industrie!H18</f>
        <v>0</v>
      </c>
      <c r="J13" s="943">
        <f>industrie!I18</f>
        <v>0</v>
      </c>
      <c r="K13" s="943">
        <f>industrie!J18</f>
        <v>755.75959388470392</v>
      </c>
      <c r="L13" s="943">
        <f>industrie!K18</f>
        <v>0</v>
      </c>
      <c r="M13" s="943">
        <f>industrie!L18</f>
        <v>0</v>
      </c>
      <c r="N13" s="943">
        <f>industrie!M18</f>
        <v>0</v>
      </c>
      <c r="O13" s="943">
        <f>industrie!N18</f>
        <v>15843.816049351106</v>
      </c>
      <c r="P13" s="943">
        <f>industrie!O18</f>
        <v>0</v>
      </c>
      <c r="Q13" s="944">
        <f>industrie!P18</f>
        <v>0</v>
      </c>
      <c r="R13" s="629">
        <f>SUM(C13:Q13)</f>
        <v>361529.03889008466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628760.91144147562</v>
      </c>
      <c r="D16" s="661">
        <f t="shared" ref="D16:R16" ca="1" si="0">SUM(D9:D15)</f>
        <v>0</v>
      </c>
      <c r="E16" s="661">
        <f t="shared" ca="1" si="0"/>
        <v>1050776.4575199555</v>
      </c>
      <c r="F16" s="661">
        <f t="shared" si="0"/>
        <v>16007.40852021703</v>
      </c>
      <c r="G16" s="661">
        <f t="shared" ca="1" si="0"/>
        <v>307669.442462862</v>
      </c>
      <c r="H16" s="661">
        <f t="shared" si="0"/>
        <v>0</v>
      </c>
      <c r="I16" s="661">
        <f t="shared" si="0"/>
        <v>0</v>
      </c>
      <c r="J16" s="661">
        <f t="shared" si="0"/>
        <v>0</v>
      </c>
      <c r="K16" s="661">
        <f t="shared" si="0"/>
        <v>4871.8702873730253</v>
      </c>
      <c r="L16" s="661">
        <f t="shared" si="0"/>
        <v>0</v>
      </c>
      <c r="M16" s="661">
        <f t="shared" ca="1" si="0"/>
        <v>0</v>
      </c>
      <c r="N16" s="661">
        <f t="shared" si="0"/>
        <v>0</v>
      </c>
      <c r="O16" s="661">
        <f t="shared" ca="1" si="0"/>
        <v>89218.53116311827</v>
      </c>
      <c r="P16" s="661">
        <f t="shared" si="0"/>
        <v>909.86000000000013</v>
      </c>
      <c r="Q16" s="661">
        <f t="shared" si="0"/>
        <v>1296.5333333333333</v>
      </c>
      <c r="R16" s="661">
        <f t="shared" ca="1" si="0"/>
        <v>2099511.0147283347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934.10716311808358</v>
      </c>
      <c r="D19" s="943">
        <f>transport!C54</f>
        <v>0</v>
      </c>
      <c r="E19" s="943">
        <f>transport!D54</f>
        <v>0</v>
      </c>
      <c r="F19" s="943">
        <f>transport!E54</f>
        <v>0</v>
      </c>
      <c r="G19" s="943">
        <f>transport!F54</f>
        <v>0</v>
      </c>
      <c r="H19" s="943">
        <f>transport!G54</f>
        <v>21835.874767208406</v>
      </c>
      <c r="I19" s="943">
        <f>transport!H54</f>
        <v>0</v>
      </c>
      <c r="J19" s="943">
        <f>transport!I54</f>
        <v>0</v>
      </c>
      <c r="K19" s="943">
        <f>transport!J54</f>
        <v>0</v>
      </c>
      <c r="L19" s="943">
        <f>transport!K54</f>
        <v>0</v>
      </c>
      <c r="M19" s="943">
        <f>transport!L54</f>
        <v>0</v>
      </c>
      <c r="N19" s="943">
        <f>transport!M54</f>
        <v>1257.0484254606338</v>
      </c>
      <c r="O19" s="943">
        <f>transport!N54</f>
        <v>0</v>
      </c>
      <c r="P19" s="943">
        <f>transport!O54</f>
        <v>0</v>
      </c>
      <c r="Q19" s="944">
        <f>transport!P54</f>
        <v>0</v>
      </c>
      <c r="R19" s="629">
        <f>SUM(C19:Q19)</f>
        <v>24027.030355787123</v>
      </c>
      <c r="S19" s="67"/>
    </row>
    <row r="20" spans="1:19" s="438" customFormat="1">
      <c r="A20" s="737" t="s">
        <v>296</v>
      </c>
      <c r="B20" s="742"/>
      <c r="C20" s="943">
        <f>transport!B14</f>
        <v>113.95977466288379</v>
      </c>
      <c r="D20" s="943">
        <f>transport!C14</f>
        <v>0</v>
      </c>
      <c r="E20" s="943">
        <f>transport!D14</f>
        <v>179.97894100171197</v>
      </c>
      <c r="F20" s="943">
        <f>transport!E14</f>
        <v>1773.1787531202572</v>
      </c>
      <c r="G20" s="943">
        <f>transport!F14</f>
        <v>0</v>
      </c>
      <c r="H20" s="943">
        <f>transport!G14</f>
        <v>602098.37885062641</v>
      </c>
      <c r="I20" s="943">
        <f>transport!H14</f>
        <v>110582.37826849626</v>
      </c>
      <c r="J20" s="943">
        <f>transport!I14</f>
        <v>0</v>
      </c>
      <c r="K20" s="943">
        <f>transport!J14</f>
        <v>0</v>
      </c>
      <c r="L20" s="943">
        <f>transport!K14</f>
        <v>0</v>
      </c>
      <c r="M20" s="943">
        <f>transport!L14</f>
        <v>0</v>
      </c>
      <c r="N20" s="943">
        <f>transport!M14</f>
        <v>38281.028249182622</v>
      </c>
      <c r="O20" s="943">
        <f>transport!N14</f>
        <v>0</v>
      </c>
      <c r="P20" s="943">
        <f>transport!O14</f>
        <v>0</v>
      </c>
      <c r="Q20" s="944">
        <f>transport!P14</f>
        <v>0</v>
      </c>
      <c r="R20" s="629">
        <f>SUM(C20:Q20)</f>
        <v>753028.90283709008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1048.0669377809675</v>
      </c>
      <c r="D22" s="740">
        <f t="shared" ref="D22:R22" si="1">SUM(D18:D21)</f>
        <v>0</v>
      </c>
      <c r="E22" s="740">
        <f t="shared" si="1"/>
        <v>179.97894100171197</v>
      </c>
      <c r="F22" s="740">
        <f t="shared" si="1"/>
        <v>1773.1787531202572</v>
      </c>
      <c r="G22" s="740">
        <f t="shared" si="1"/>
        <v>0</v>
      </c>
      <c r="H22" s="740">
        <f t="shared" si="1"/>
        <v>623934.25361783477</v>
      </c>
      <c r="I22" s="740">
        <f t="shared" si="1"/>
        <v>110582.37826849626</v>
      </c>
      <c r="J22" s="740">
        <f t="shared" si="1"/>
        <v>0</v>
      </c>
      <c r="K22" s="740">
        <f t="shared" si="1"/>
        <v>0</v>
      </c>
      <c r="L22" s="740">
        <f t="shared" si="1"/>
        <v>0</v>
      </c>
      <c r="M22" s="740">
        <f t="shared" si="1"/>
        <v>0</v>
      </c>
      <c r="N22" s="740">
        <f t="shared" si="1"/>
        <v>39538.076674643256</v>
      </c>
      <c r="O22" s="740">
        <f t="shared" si="1"/>
        <v>0</v>
      </c>
      <c r="P22" s="740">
        <f t="shared" si="1"/>
        <v>0</v>
      </c>
      <c r="Q22" s="740">
        <f t="shared" si="1"/>
        <v>0</v>
      </c>
      <c r="R22" s="740">
        <f t="shared" si="1"/>
        <v>777055.93319287722</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7605.6634999999997</v>
      </c>
      <c r="D24" s="943">
        <f>+landbouw!C8</f>
        <v>57.857142857142861</v>
      </c>
      <c r="E24" s="943">
        <f>+landbouw!D8</f>
        <v>13243.822851760702</v>
      </c>
      <c r="F24" s="943">
        <f>+landbouw!E8</f>
        <v>163.09234489348918</v>
      </c>
      <c r="G24" s="943">
        <f>+landbouw!F8</f>
        <v>24670.335281392312</v>
      </c>
      <c r="H24" s="943">
        <f>+landbouw!G8</f>
        <v>0</v>
      </c>
      <c r="I24" s="943">
        <f>+landbouw!H8</f>
        <v>0</v>
      </c>
      <c r="J24" s="943">
        <f>+landbouw!I8</f>
        <v>0</v>
      </c>
      <c r="K24" s="943">
        <f>+landbouw!J8</f>
        <v>732.80969766910926</v>
      </c>
      <c r="L24" s="943">
        <f>+landbouw!K8</f>
        <v>0</v>
      </c>
      <c r="M24" s="943">
        <f>+landbouw!L8</f>
        <v>0</v>
      </c>
      <c r="N24" s="943">
        <f>+landbouw!M8</f>
        <v>0</v>
      </c>
      <c r="O24" s="943">
        <f>+landbouw!N8</f>
        <v>0</v>
      </c>
      <c r="P24" s="943">
        <f>+landbouw!O8</f>
        <v>0</v>
      </c>
      <c r="Q24" s="944">
        <f>+landbouw!P8</f>
        <v>0</v>
      </c>
      <c r="R24" s="629">
        <f>SUM(C24:Q24)</f>
        <v>46473.580818572758</v>
      </c>
      <c r="S24" s="67"/>
    </row>
    <row r="25" spans="1:19" s="438" customFormat="1" ht="15" thickBot="1">
      <c r="A25" s="759" t="s">
        <v>802</v>
      </c>
      <c r="B25" s="946"/>
      <c r="C25" s="947">
        <f>IF(Onbekend_ele_kWh="---",0,Onbekend_ele_kWh)/1000+IF(REST_rest_ele_kWh="---",0,REST_rest_ele_kWh)/1000</f>
        <v>10944.763000000001</v>
      </c>
      <c r="D25" s="947"/>
      <c r="E25" s="947">
        <f>IF(onbekend_gas_kWh="---",0,onbekend_gas_kWh)/1000+IF(REST_rest_gas_kWh="---",0,REST_rest_gas_kWh)/1000</f>
        <v>34212.157911528404</v>
      </c>
      <c r="F25" s="947"/>
      <c r="G25" s="947"/>
      <c r="H25" s="947"/>
      <c r="I25" s="947"/>
      <c r="J25" s="947"/>
      <c r="K25" s="947"/>
      <c r="L25" s="947"/>
      <c r="M25" s="947"/>
      <c r="N25" s="947"/>
      <c r="O25" s="947"/>
      <c r="P25" s="947"/>
      <c r="Q25" s="948"/>
      <c r="R25" s="629">
        <f>SUM(C25:Q25)</f>
        <v>45156.920911528403</v>
      </c>
      <c r="S25" s="67"/>
    </row>
    <row r="26" spans="1:19" s="438" customFormat="1" ht="15.75" thickBot="1">
      <c r="A26" s="634" t="s">
        <v>803</v>
      </c>
      <c r="B26" s="745"/>
      <c r="C26" s="740">
        <f>SUM(C24:C25)</f>
        <v>18550.426500000001</v>
      </c>
      <c r="D26" s="740">
        <f t="shared" ref="D26:R26" si="2">SUM(D24:D25)</f>
        <v>57.857142857142861</v>
      </c>
      <c r="E26" s="740">
        <f t="shared" si="2"/>
        <v>47455.980763289102</v>
      </c>
      <c r="F26" s="740">
        <f t="shared" si="2"/>
        <v>163.09234489348918</v>
      </c>
      <c r="G26" s="740">
        <f t="shared" si="2"/>
        <v>24670.335281392312</v>
      </c>
      <c r="H26" s="740">
        <f t="shared" si="2"/>
        <v>0</v>
      </c>
      <c r="I26" s="740">
        <f t="shared" si="2"/>
        <v>0</v>
      </c>
      <c r="J26" s="740">
        <f t="shared" si="2"/>
        <v>0</v>
      </c>
      <c r="K26" s="740">
        <f t="shared" si="2"/>
        <v>732.80969766910926</v>
      </c>
      <c r="L26" s="740">
        <f t="shared" si="2"/>
        <v>0</v>
      </c>
      <c r="M26" s="740">
        <f t="shared" si="2"/>
        <v>0</v>
      </c>
      <c r="N26" s="740">
        <f t="shared" si="2"/>
        <v>0</v>
      </c>
      <c r="O26" s="740">
        <f t="shared" si="2"/>
        <v>0</v>
      </c>
      <c r="P26" s="740">
        <f t="shared" si="2"/>
        <v>0</v>
      </c>
      <c r="Q26" s="740">
        <f t="shared" si="2"/>
        <v>0</v>
      </c>
      <c r="R26" s="740">
        <f t="shared" si="2"/>
        <v>91630.501730101154</v>
      </c>
      <c r="S26" s="67"/>
    </row>
    <row r="27" spans="1:19" s="438" customFormat="1" ht="17.25" thickTop="1" thickBot="1">
      <c r="A27" s="635" t="s">
        <v>109</v>
      </c>
      <c r="B27" s="733"/>
      <c r="C27" s="636">
        <f ca="1">C22+C16+C26</f>
        <v>648359.40487925662</v>
      </c>
      <c r="D27" s="636">
        <f t="shared" ref="D27:R27" ca="1" si="3">D22+D16+D26</f>
        <v>57.857142857142861</v>
      </c>
      <c r="E27" s="636">
        <f t="shared" ca="1" si="3"/>
        <v>1098412.4172242463</v>
      </c>
      <c r="F27" s="636">
        <f t="shared" si="3"/>
        <v>17943.679618230777</v>
      </c>
      <c r="G27" s="636">
        <f t="shared" ca="1" si="3"/>
        <v>332339.77774425433</v>
      </c>
      <c r="H27" s="636">
        <f t="shared" si="3"/>
        <v>623934.25361783477</v>
      </c>
      <c r="I27" s="636">
        <f t="shared" si="3"/>
        <v>110582.37826849626</v>
      </c>
      <c r="J27" s="636">
        <f t="shared" si="3"/>
        <v>0</v>
      </c>
      <c r="K27" s="636">
        <f t="shared" si="3"/>
        <v>5604.6799850421348</v>
      </c>
      <c r="L27" s="636">
        <f t="shared" si="3"/>
        <v>0</v>
      </c>
      <c r="M27" s="636">
        <f t="shared" ca="1" si="3"/>
        <v>0</v>
      </c>
      <c r="N27" s="636">
        <f t="shared" si="3"/>
        <v>39538.076674643256</v>
      </c>
      <c r="O27" s="636">
        <f t="shared" ca="1" si="3"/>
        <v>89218.53116311827</v>
      </c>
      <c r="P27" s="636">
        <f t="shared" si="3"/>
        <v>909.86000000000013</v>
      </c>
      <c r="Q27" s="636">
        <f t="shared" si="3"/>
        <v>1296.5333333333333</v>
      </c>
      <c r="R27" s="636">
        <f t="shared" ca="1" si="3"/>
        <v>2968197.449651313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61636.828458012875</v>
      </c>
      <c r="D40" s="943">
        <f ca="1">tertiair!C20</f>
        <v>0</v>
      </c>
      <c r="E40" s="943">
        <f ca="1">tertiair!D20</f>
        <v>66193.88778723267</v>
      </c>
      <c r="F40" s="943">
        <f>tertiair!E20</f>
        <v>896.91647696066138</v>
      </c>
      <c r="G40" s="943">
        <f ca="1">tertiair!F20</f>
        <v>17745.206581530423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146472.83930373663</v>
      </c>
    </row>
    <row r="41" spans="1:18">
      <c r="A41" s="750" t="s">
        <v>214</v>
      </c>
      <c r="B41" s="757"/>
      <c r="C41" s="943">
        <f ca="1">huishoudens!B12</f>
        <v>38100.588594414141</v>
      </c>
      <c r="D41" s="943">
        <f ca="1">huishoudens!C12</f>
        <v>0</v>
      </c>
      <c r="E41" s="943">
        <f>huishoudens!D12</f>
        <v>111952.83839943811</v>
      </c>
      <c r="F41" s="943">
        <f>huishoudens!E12</f>
        <v>1270.0728834503007</v>
      </c>
      <c r="G41" s="943">
        <f>huishoudens!F12</f>
        <v>47127.072703821774</v>
      </c>
      <c r="H41" s="943">
        <f>huishoudens!G12</f>
        <v>0</v>
      </c>
      <c r="I41" s="943">
        <f>huishoudens!H12</f>
        <v>0</v>
      </c>
      <c r="J41" s="943">
        <f>huishoudens!I12</f>
        <v>0</v>
      </c>
      <c r="K41" s="943">
        <f>huishoudens!J12</f>
        <v>1457.1031854948658</v>
      </c>
      <c r="L41" s="943">
        <f>huishoudens!K12</f>
        <v>0</v>
      </c>
      <c r="M41" s="943">
        <f>huishoudens!L12</f>
        <v>0</v>
      </c>
      <c r="N41" s="943">
        <f>huishoudens!M12</f>
        <v>0</v>
      </c>
      <c r="O41" s="943">
        <f>huishoudens!N12</f>
        <v>0</v>
      </c>
      <c r="P41" s="943">
        <f>huishoudens!O12</f>
        <v>0</v>
      </c>
      <c r="Q41" s="703">
        <f>huishoudens!P12</f>
        <v>0</v>
      </c>
      <c r="R41" s="778">
        <f t="shared" ca="1" si="4"/>
        <v>199907.67576661918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19972.775442266568</v>
      </c>
      <c r="D43" s="943">
        <f ca="1">industrie!C22</f>
        <v>0</v>
      </c>
      <c r="E43" s="943">
        <f>industrie!D22</f>
        <v>34110.118232360248</v>
      </c>
      <c r="F43" s="943">
        <f>industrie!E22</f>
        <v>1466.6923736783037</v>
      </c>
      <c r="G43" s="943">
        <f>industrie!F22</f>
        <v>17275.461852231962</v>
      </c>
      <c r="H43" s="943">
        <f>industrie!G22</f>
        <v>0</v>
      </c>
      <c r="I43" s="943">
        <f>industrie!H22</f>
        <v>0</v>
      </c>
      <c r="J43" s="943">
        <f>industrie!I22</f>
        <v>0</v>
      </c>
      <c r="K43" s="943">
        <f>industrie!J22</f>
        <v>267.53889623518518</v>
      </c>
      <c r="L43" s="943">
        <f>industrie!K22</f>
        <v>0</v>
      </c>
      <c r="M43" s="943">
        <f>industrie!L22</f>
        <v>0</v>
      </c>
      <c r="N43" s="943">
        <f>industrie!M22</f>
        <v>0</v>
      </c>
      <c r="O43" s="943">
        <f>industrie!N22</f>
        <v>0</v>
      </c>
      <c r="P43" s="943">
        <f>industrie!O22</f>
        <v>0</v>
      </c>
      <c r="Q43" s="703">
        <f>industrie!P22</f>
        <v>0</v>
      </c>
      <c r="R43" s="777">
        <f t="shared" ca="1" si="4"/>
        <v>73092.586796772273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119710.19249469359</v>
      </c>
      <c r="D46" s="661">
        <f t="shared" ref="D46:Q46" ca="1" si="5">SUM(D39:D45)</f>
        <v>0</v>
      </c>
      <c r="E46" s="661">
        <f t="shared" ca="1" si="5"/>
        <v>212256.84441903103</v>
      </c>
      <c r="F46" s="661">
        <f t="shared" si="5"/>
        <v>3633.6817340892658</v>
      </c>
      <c r="G46" s="661">
        <f t="shared" ca="1" si="5"/>
        <v>82147.741137584162</v>
      </c>
      <c r="H46" s="661">
        <f t="shared" si="5"/>
        <v>0</v>
      </c>
      <c r="I46" s="661">
        <f t="shared" si="5"/>
        <v>0</v>
      </c>
      <c r="J46" s="661">
        <f t="shared" si="5"/>
        <v>0</v>
      </c>
      <c r="K46" s="661">
        <f t="shared" si="5"/>
        <v>1724.6420817300509</v>
      </c>
      <c r="L46" s="661">
        <f t="shared" si="5"/>
        <v>0</v>
      </c>
      <c r="M46" s="661">
        <f t="shared" ca="1" si="5"/>
        <v>0</v>
      </c>
      <c r="N46" s="661">
        <f t="shared" si="5"/>
        <v>0</v>
      </c>
      <c r="O46" s="661">
        <f t="shared" ca="1" si="5"/>
        <v>0</v>
      </c>
      <c r="P46" s="661">
        <f t="shared" si="5"/>
        <v>0</v>
      </c>
      <c r="Q46" s="661">
        <f t="shared" si="5"/>
        <v>0</v>
      </c>
      <c r="R46" s="661">
        <f ca="1">SUM(R39:R45)</f>
        <v>419473.10186712811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177.84526084991245</v>
      </c>
      <c r="D49" s="943">
        <f ca="1">transport!C58</f>
        <v>0</v>
      </c>
      <c r="E49" s="943">
        <f>transport!D58</f>
        <v>0</v>
      </c>
      <c r="F49" s="943">
        <f>transport!E58</f>
        <v>0</v>
      </c>
      <c r="G49" s="943">
        <f>transport!F58</f>
        <v>0</v>
      </c>
      <c r="H49" s="943">
        <f>transport!G58</f>
        <v>5830.1785628446451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6008.0238236945579</v>
      </c>
    </row>
    <row r="50" spans="1:18">
      <c r="A50" s="753" t="s">
        <v>296</v>
      </c>
      <c r="B50" s="763"/>
      <c r="C50" s="632">
        <f ca="1">transport!B18</f>
        <v>21.696874461025587</v>
      </c>
      <c r="D50" s="632">
        <f>transport!C18</f>
        <v>0</v>
      </c>
      <c r="E50" s="632">
        <f>transport!D18</f>
        <v>36.355746082345824</v>
      </c>
      <c r="F50" s="632">
        <f>transport!E18</f>
        <v>402.51157695829841</v>
      </c>
      <c r="G50" s="632">
        <f>transport!F18</f>
        <v>0</v>
      </c>
      <c r="H50" s="632">
        <f>transport!G18</f>
        <v>160760.26715311725</v>
      </c>
      <c r="I50" s="632">
        <f>transport!H18</f>
        <v>27535.01218885557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188755.84353947447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199.54213531093802</v>
      </c>
      <c r="D52" s="661">
        <f t="shared" ref="D52:Q52" ca="1" si="6">SUM(D48:D51)</f>
        <v>0</v>
      </c>
      <c r="E52" s="661">
        <f t="shared" si="6"/>
        <v>36.355746082345824</v>
      </c>
      <c r="F52" s="661">
        <f t="shared" si="6"/>
        <v>402.51157695829841</v>
      </c>
      <c r="G52" s="661">
        <f t="shared" si="6"/>
        <v>0</v>
      </c>
      <c r="H52" s="661">
        <f t="shared" si="6"/>
        <v>166590.44571596189</v>
      </c>
      <c r="I52" s="661">
        <f t="shared" si="6"/>
        <v>27535.01218885557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194763.86736316903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1448.047143305299</v>
      </c>
      <c r="D54" s="632">
        <f ca="1">+landbouw!C12</f>
        <v>13.512809699525569</v>
      </c>
      <c r="E54" s="632">
        <f>+landbouw!D12</f>
        <v>2675.2522160556618</v>
      </c>
      <c r="F54" s="632">
        <f>+landbouw!E12</f>
        <v>37.021962290822046</v>
      </c>
      <c r="G54" s="632">
        <f>+landbouw!F12</f>
        <v>6586.9795201317474</v>
      </c>
      <c r="H54" s="632">
        <f>+landbouw!G12</f>
        <v>0</v>
      </c>
      <c r="I54" s="632">
        <f>+landbouw!H12</f>
        <v>0</v>
      </c>
      <c r="J54" s="632">
        <f>+landbouw!I12</f>
        <v>0</v>
      </c>
      <c r="K54" s="632">
        <f>+landbouw!J12</f>
        <v>259.41463297486467</v>
      </c>
      <c r="L54" s="632">
        <f>+landbouw!K12</f>
        <v>0</v>
      </c>
      <c r="M54" s="632">
        <f>+landbouw!L12</f>
        <v>0</v>
      </c>
      <c r="N54" s="632">
        <f>+landbouw!M12</f>
        <v>0</v>
      </c>
      <c r="O54" s="632">
        <f>+landbouw!N12</f>
        <v>0</v>
      </c>
      <c r="P54" s="632">
        <f>+landbouw!O12</f>
        <v>0</v>
      </c>
      <c r="Q54" s="633">
        <f>+landbouw!P12</f>
        <v>0</v>
      </c>
      <c r="R54" s="660">
        <f ca="1">SUM(C54:Q54)</f>
        <v>11020.22828445792</v>
      </c>
    </row>
    <row r="55" spans="1:18" ht="15" thickBot="1">
      <c r="A55" s="753" t="s">
        <v>802</v>
      </c>
      <c r="B55" s="763"/>
      <c r="C55" s="632">
        <f ca="1">C25*'EF ele_warmte'!B12</f>
        <v>2083.7804349750072</v>
      </c>
      <c r="D55" s="632"/>
      <c r="E55" s="632">
        <f>E25*EF_CO2_aardgas</f>
        <v>6910.8558981287379</v>
      </c>
      <c r="F55" s="632"/>
      <c r="G55" s="632"/>
      <c r="H55" s="632"/>
      <c r="I55" s="632"/>
      <c r="J55" s="632"/>
      <c r="K55" s="632"/>
      <c r="L55" s="632"/>
      <c r="M55" s="632"/>
      <c r="N55" s="632"/>
      <c r="O55" s="632"/>
      <c r="P55" s="632"/>
      <c r="Q55" s="633"/>
      <c r="R55" s="660">
        <f ca="1">SUM(C55:Q55)</f>
        <v>8994.6363331037446</v>
      </c>
    </row>
    <row r="56" spans="1:18" ht="15.75" thickBot="1">
      <c r="A56" s="751" t="s">
        <v>803</v>
      </c>
      <c r="B56" s="764"/>
      <c r="C56" s="661">
        <f ca="1">SUM(C54:C55)</f>
        <v>3531.8275782803062</v>
      </c>
      <c r="D56" s="661">
        <f t="shared" ref="D56:Q56" ca="1" si="7">SUM(D54:D55)</f>
        <v>13.512809699525569</v>
      </c>
      <c r="E56" s="661">
        <f t="shared" si="7"/>
        <v>9586.1081141844006</v>
      </c>
      <c r="F56" s="661">
        <f t="shared" si="7"/>
        <v>37.021962290822046</v>
      </c>
      <c r="G56" s="661">
        <f t="shared" si="7"/>
        <v>6586.9795201317474</v>
      </c>
      <c r="H56" s="661">
        <f t="shared" si="7"/>
        <v>0</v>
      </c>
      <c r="I56" s="661">
        <f t="shared" si="7"/>
        <v>0</v>
      </c>
      <c r="J56" s="661">
        <f t="shared" si="7"/>
        <v>0</v>
      </c>
      <c r="K56" s="661">
        <f t="shared" si="7"/>
        <v>259.41463297486467</v>
      </c>
      <c r="L56" s="661">
        <f t="shared" si="7"/>
        <v>0</v>
      </c>
      <c r="M56" s="661">
        <f t="shared" si="7"/>
        <v>0</v>
      </c>
      <c r="N56" s="661">
        <f t="shared" si="7"/>
        <v>0</v>
      </c>
      <c r="O56" s="661">
        <f t="shared" si="7"/>
        <v>0</v>
      </c>
      <c r="P56" s="661">
        <f t="shared" si="7"/>
        <v>0</v>
      </c>
      <c r="Q56" s="662">
        <f t="shared" si="7"/>
        <v>0</v>
      </c>
      <c r="R56" s="663">
        <f ca="1">SUM(R54:R55)</f>
        <v>20014.864617561667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123441.56220828484</v>
      </c>
      <c r="D61" s="669">
        <f t="shared" ref="D61:Q61" ca="1" si="8">D46+D52+D56</f>
        <v>13.512809699525569</v>
      </c>
      <c r="E61" s="669">
        <f t="shared" ca="1" si="8"/>
        <v>221879.30827929778</v>
      </c>
      <c r="F61" s="669">
        <f t="shared" si="8"/>
        <v>4073.2152733383864</v>
      </c>
      <c r="G61" s="669">
        <f t="shared" ca="1" si="8"/>
        <v>88734.720657715909</v>
      </c>
      <c r="H61" s="669">
        <f t="shared" si="8"/>
        <v>166590.44571596189</v>
      </c>
      <c r="I61" s="669">
        <f t="shared" si="8"/>
        <v>27535.01218885557</v>
      </c>
      <c r="J61" s="669">
        <f t="shared" si="8"/>
        <v>0</v>
      </c>
      <c r="K61" s="669">
        <f t="shared" si="8"/>
        <v>1984.0567147049155</v>
      </c>
      <c r="L61" s="669">
        <f t="shared" si="8"/>
        <v>0</v>
      </c>
      <c r="M61" s="669">
        <f t="shared" ca="1" si="8"/>
        <v>0</v>
      </c>
      <c r="N61" s="669">
        <f t="shared" si="8"/>
        <v>0</v>
      </c>
      <c r="O61" s="669">
        <f t="shared" ca="1" si="8"/>
        <v>0</v>
      </c>
      <c r="P61" s="669">
        <f t="shared" si="8"/>
        <v>0</v>
      </c>
      <c r="Q61" s="669">
        <f t="shared" si="8"/>
        <v>0</v>
      </c>
      <c r="R61" s="669">
        <f ca="1">R46+R52+R56</f>
        <v>634251.83384785883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0.19039064025187272</v>
      </c>
      <c r="D63" s="710">
        <f t="shared" ca="1" si="9"/>
        <v>0.23355473554735551</v>
      </c>
      <c r="E63" s="954">
        <f t="shared" ca="1" si="9"/>
        <v>0.20200000000000001</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58865.205099733474</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30936.756420834943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29.25</v>
      </c>
      <c r="D76" s="964">
        <f>'lokale energieproductie'!C8</f>
        <v>33.819188191881921</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6.8314760147601481</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89801.961520568409</v>
      </c>
      <c r="C78" s="684">
        <f>SUM(C72:C77)</f>
        <v>29.25</v>
      </c>
      <c r="D78" s="685">
        <f t="shared" ref="D78:H78" si="10">SUM(D76:D77)</f>
        <v>33.819188191881921</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6.8314760147601481</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57.857142857142861</v>
      </c>
      <c r="D87" s="706">
        <f>'lokale energieproductie'!C17</f>
        <v>66.895097522403802</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13.512809699525569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57.857142857142861</v>
      </c>
      <c r="D90" s="684">
        <f t="shared" ref="D90:H90" si="12">SUM(D87:D89)</f>
        <v>66.895097522403802</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13.512809699525569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200117.97084147562</v>
      </c>
      <c r="C4" s="442">
        <f>huishoudens!C8</f>
        <v>0</v>
      </c>
      <c r="D4" s="442">
        <f>huishoudens!D8</f>
        <v>554221.97227444605</v>
      </c>
      <c r="E4" s="442">
        <f>huishoudens!E8</f>
        <v>5595.0347288559497</v>
      </c>
      <c r="F4" s="442">
        <f>huishoudens!F8</f>
        <v>176505.89027648602</v>
      </c>
      <c r="G4" s="442">
        <f>huishoudens!G8</f>
        <v>0</v>
      </c>
      <c r="H4" s="442">
        <f>huishoudens!H8</f>
        <v>0</v>
      </c>
      <c r="I4" s="442">
        <f>huishoudens!I8</f>
        <v>0</v>
      </c>
      <c r="J4" s="442">
        <f>huishoudens!J8</f>
        <v>4116.1106934883219</v>
      </c>
      <c r="K4" s="442">
        <f>huishoudens!K8</f>
        <v>0</v>
      </c>
      <c r="L4" s="442">
        <f>huishoudens!L8</f>
        <v>0</v>
      </c>
      <c r="M4" s="442">
        <f>huishoudens!M8</f>
        <v>0</v>
      </c>
      <c r="N4" s="442">
        <f>huishoudens!N8</f>
        <v>57451.751792481635</v>
      </c>
      <c r="O4" s="442">
        <f>huishoudens!O8</f>
        <v>892.66333333333341</v>
      </c>
      <c r="P4" s="443">
        <f>huishoudens!P8</f>
        <v>972.4</v>
      </c>
      <c r="Q4" s="444">
        <f>SUM(B4:P4)</f>
        <v>999873.79394056695</v>
      </c>
    </row>
    <row r="5" spans="1:17">
      <c r="A5" s="441" t="s">
        <v>149</v>
      </c>
      <c r="B5" s="442">
        <f ca="1">tertiair!B16</f>
        <v>315501.92099999997</v>
      </c>
      <c r="C5" s="442">
        <f ca="1">tertiair!C16</f>
        <v>0</v>
      </c>
      <c r="D5" s="442">
        <f ca="1">tertiair!D16</f>
        <v>327692.51379818149</v>
      </c>
      <c r="E5" s="442">
        <f>tertiair!E16</f>
        <v>3951.1739073156887</v>
      </c>
      <c r="F5" s="442">
        <f ca="1">tertiair!F16</f>
        <v>66461.447870900462</v>
      </c>
      <c r="G5" s="442">
        <f>tertiair!G16</f>
        <v>0</v>
      </c>
      <c r="H5" s="442">
        <f>tertiair!H16</f>
        <v>0</v>
      </c>
      <c r="I5" s="442">
        <f>tertiair!I16</f>
        <v>0</v>
      </c>
      <c r="J5" s="442">
        <f>tertiair!J16</f>
        <v>0</v>
      </c>
      <c r="K5" s="442">
        <f>tertiair!K16</f>
        <v>0</v>
      </c>
      <c r="L5" s="442">
        <f ca="1">tertiair!L16</f>
        <v>0</v>
      </c>
      <c r="M5" s="442">
        <f>tertiair!M16</f>
        <v>0</v>
      </c>
      <c r="N5" s="442">
        <f ca="1">tertiair!N16</f>
        <v>15922.963321285521</v>
      </c>
      <c r="O5" s="442">
        <f>tertiair!O16</f>
        <v>17.196666666666669</v>
      </c>
      <c r="P5" s="443">
        <f>tertiair!P16</f>
        <v>324.13333333333333</v>
      </c>
      <c r="Q5" s="441">
        <f t="shared" ref="Q5:Q14" ca="1" si="0">SUM(B5:P5)</f>
        <v>729871.34989768325</v>
      </c>
    </row>
    <row r="6" spans="1:17">
      <c r="A6" s="441" t="s">
        <v>187</v>
      </c>
      <c r="B6" s="442">
        <f>'openbare verlichting'!B8</f>
        <v>8236.8320000000003</v>
      </c>
      <c r="C6" s="442"/>
      <c r="D6" s="442"/>
      <c r="E6" s="442"/>
      <c r="F6" s="442"/>
      <c r="G6" s="442"/>
      <c r="H6" s="442"/>
      <c r="I6" s="442"/>
      <c r="J6" s="442"/>
      <c r="K6" s="442"/>
      <c r="L6" s="442"/>
      <c r="M6" s="442"/>
      <c r="N6" s="442"/>
      <c r="O6" s="442"/>
      <c r="P6" s="443"/>
      <c r="Q6" s="441">
        <f t="shared" si="0"/>
        <v>8236.8320000000003</v>
      </c>
    </row>
    <row r="7" spans="1:17">
      <c r="A7" s="441" t="s">
        <v>105</v>
      </c>
      <c r="B7" s="442">
        <f>landbouw!B8</f>
        <v>7605.6634999999997</v>
      </c>
      <c r="C7" s="442">
        <f>landbouw!C8</f>
        <v>57.857142857142861</v>
      </c>
      <c r="D7" s="442">
        <f>landbouw!D8</f>
        <v>13243.822851760702</v>
      </c>
      <c r="E7" s="442">
        <f>landbouw!E8</f>
        <v>163.09234489348918</v>
      </c>
      <c r="F7" s="442">
        <f>landbouw!F8</f>
        <v>24670.335281392312</v>
      </c>
      <c r="G7" s="442">
        <f>landbouw!G8</f>
        <v>0</v>
      </c>
      <c r="H7" s="442">
        <f>landbouw!H8</f>
        <v>0</v>
      </c>
      <c r="I7" s="442">
        <f>landbouw!I8</f>
        <v>0</v>
      </c>
      <c r="J7" s="442">
        <f>landbouw!J8</f>
        <v>732.80969766910926</v>
      </c>
      <c r="K7" s="442">
        <f>landbouw!K8</f>
        <v>0</v>
      </c>
      <c r="L7" s="442">
        <f>landbouw!L8</f>
        <v>0</v>
      </c>
      <c r="M7" s="442">
        <f>landbouw!M8</f>
        <v>0</v>
      </c>
      <c r="N7" s="442">
        <f>landbouw!N8</f>
        <v>0</v>
      </c>
      <c r="O7" s="442">
        <f>landbouw!O8</f>
        <v>0</v>
      </c>
      <c r="P7" s="443">
        <f>landbouw!P8</f>
        <v>0</v>
      </c>
      <c r="Q7" s="441">
        <f t="shared" si="0"/>
        <v>46473.580818572758</v>
      </c>
    </row>
    <row r="8" spans="1:17">
      <c r="A8" s="441" t="s">
        <v>612</v>
      </c>
      <c r="B8" s="442">
        <f>industrie!B18</f>
        <v>104904.1876</v>
      </c>
      <c r="C8" s="442">
        <f>industrie!C18</f>
        <v>0</v>
      </c>
      <c r="D8" s="442">
        <f>industrie!D18</f>
        <v>168861.97144732796</v>
      </c>
      <c r="E8" s="442">
        <f>industrie!E18</f>
        <v>6461.1998840453907</v>
      </c>
      <c r="F8" s="442">
        <f>industrie!F18</f>
        <v>64702.104315475503</v>
      </c>
      <c r="G8" s="442">
        <f>industrie!G18</f>
        <v>0</v>
      </c>
      <c r="H8" s="442">
        <f>industrie!H18</f>
        <v>0</v>
      </c>
      <c r="I8" s="442">
        <f>industrie!I18</f>
        <v>0</v>
      </c>
      <c r="J8" s="442">
        <f>industrie!J18</f>
        <v>755.75959388470392</v>
      </c>
      <c r="K8" s="442">
        <f>industrie!K18</f>
        <v>0</v>
      </c>
      <c r="L8" s="442">
        <f>industrie!L18</f>
        <v>0</v>
      </c>
      <c r="M8" s="442">
        <f>industrie!M18</f>
        <v>0</v>
      </c>
      <c r="N8" s="442">
        <f>industrie!N18</f>
        <v>15843.816049351106</v>
      </c>
      <c r="O8" s="442">
        <f>industrie!O18</f>
        <v>0</v>
      </c>
      <c r="P8" s="443">
        <f>industrie!P18</f>
        <v>0</v>
      </c>
      <c r="Q8" s="441">
        <f t="shared" si="0"/>
        <v>361529.03889008466</v>
      </c>
    </row>
    <row r="9" spans="1:17" s="447" customFormat="1">
      <c r="A9" s="445" t="s">
        <v>556</v>
      </c>
      <c r="B9" s="446">
        <f>transport!B14</f>
        <v>113.95977466288379</v>
      </c>
      <c r="C9" s="446">
        <f>transport!C14</f>
        <v>0</v>
      </c>
      <c r="D9" s="446">
        <f>transport!D14</f>
        <v>179.97894100171197</v>
      </c>
      <c r="E9" s="446">
        <f>transport!E14</f>
        <v>1773.1787531202572</v>
      </c>
      <c r="F9" s="446">
        <f>transport!F14</f>
        <v>0</v>
      </c>
      <c r="G9" s="446">
        <f>transport!G14</f>
        <v>602098.37885062641</v>
      </c>
      <c r="H9" s="446">
        <f>transport!H14</f>
        <v>110582.37826849626</v>
      </c>
      <c r="I9" s="446">
        <f>transport!I14</f>
        <v>0</v>
      </c>
      <c r="J9" s="446">
        <f>transport!J14</f>
        <v>0</v>
      </c>
      <c r="K9" s="446">
        <f>transport!K14</f>
        <v>0</v>
      </c>
      <c r="L9" s="446">
        <f>transport!L14</f>
        <v>0</v>
      </c>
      <c r="M9" s="446">
        <f>transport!M14</f>
        <v>38281.028249182622</v>
      </c>
      <c r="N9" s="446">
        <f>transport!N14</f>
        <v>0</v>
      </c>
      <c r="O9" s="446">
        <f>transport!O14</f>
        <v>0</v>
      </c>
      <c r="P9" s="446">
        <f>transport!P14</f>
        <v>0</v>
      </c>
      <c r="Q9" s="445">
        <f>SUM(B9:P9)</f>
        <v>753028.90283709008</v>
      </c>
    </row>
    <row r="10" spans="1:17">
      <c r="A10" s="441" t="s">
        <v>546</v>
      </c>
      <c r="B10" s="442">
        <f>transport!B54</f>
        <v>934.10716311808358</v>
      </c>
      <c r="C10" s="442">
        <f>transport!C54</f>
        <v>0</v>
      </c>
      <c r="D10" s="442">
        <f>transport!D54</f>
        <v>0</v>
      </c>
      <c r="E10" s="442">
        <f>transport!E54</f>
        <v>0</v>
      </c>
      <c r="F10" s="442">
        <f>transport!F54</f>
        <v>0</v>
      </c>
      <c r="G10" s="442">
        <f>transport!G54</f>
        <v>21835.874767208406</v>
      </c>
      <c r="H10" s="442">
        <f>transport!H54</f>
        <v>0</v>
      </c>
      <c r="I10" s="442">
        <f>transport!I54</f>
        <v>0</v>
      </c>
      <c r="J10" s="442">
        <f>transport!J54</f>
        <v>0</v>
      </c>
      <c r="K10" s="442">
        <f>transport!K54</f>
        <v>0</v>
      </c>
      <c r="L10" s="442">
        <f>transport!L54</f>
        <v>0</v>
      </c>
      <c r="M10" s="442">
        <f>transport!M54</f>
        <v>1257.0484254606338</v>
      </c>
      <c r="N10" s="442">
        <f>transport!N54</f>
        <v>0</v>
      </c>
      <c r="O10" s="442">
        <f>transport!O54</f>
        <v>0</v>
      </c>
      <c r="P10" s="443">
        <f>transport!P54</f>
        <v>0</v>
      </c>
      <c r="Q10" s="441">
        <f t="shared" si="0"/>
        <v>24027.030355787123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10944.763000000001</v>
      </c>
      <c r="C14" s="449"/>
      <c r="D14" s="449">
        <f>'SEAP template'!E25</f>
        <v>34212.157911528404</v>
      </c>
      <c r="E14" s="449"/>
      <c r="F14" s="449"/>
      <c r="G14" s="449"/>
      <c r="H14" s="449"/>
      <c r="I14" s="449"/>
      <c r="J14" s="449"/>
      <c r="K14" s="449"/>
      <c r="L14" s="449"/>
      <c r="M14" s="449"/>
      <c r="N14" s="449"/>
      <c r="O14" s="449"/>
      <c r="P14" s="450"/>
      <c r="Q14" s="441">
        <f t="shared" si="0"/>
        <v>45156.920911528403</v>
      </c>
    </row>
    <row r="15" spans="1:17" s="451" customFormat="1">
      <c r="A15" s="969" t="s">
        <v>550</v>
      </c>
      <c r="B15" s="909">
        <f ca="1">SUM(B4:B14)</f>
        <v>648359.40487925662</v>
      </c>
      <c r="C15" s="909">
        <f t="shared" ref="C15:Q15" ca="1" si="1">SUM(C4:C14)</f>
        <v>57.857142857142861</v>
      </c>
      <c r="D15" s="909">
        <f t="shared" ca="1" si="1"/>
        <v>1098412.4172242463</v>
      </c>
      <c r="E15" s="909">
        <f t="shared" si="1"/>
        <v>17943.679618230777</v>
      </c>
      <c r="F15" s="909">
        <f t="shared" ca="1" si="1"/>
        <v>332339.77774425433</v>
      </c>
      <c r="G15" s="909">
        <f t="shared" si="1"/>
        <v>623934.25361783477</v>
      </c>
      <c r="H15" s="909">
        <f t="shared" si="1"/>
        <v>110582.37826849626</v>
      </c>
      <c r="I15" s="909">
        <f t="shared" si="1"/>
        <v>0</v>
      </c>
      <c r="J15" s="909">
        <f t="shared" si="1"/>
        <v>5604.6799850421357</v>
      </c>
      <c r="K15" s="909">
        <f t="shared" si="1"/>
        <v>0</v>
      </c>
      <c r="L15" s="909">
        <f t="shared" ca="1" si="1"/>
        <v>0</v>
      </c>
      <c r="M15" s="909">
        <f t="shared" si="1"/>
        <v>39538.076674643256</v>
      </c>
      <c r="N15" s="909">
        <f t="shared" ca="1" si="1"/>
        <v>89218.53116311827</v>
      </c>
      <c r="O15" s="909">
        <f t="shared" si="1"/>
        <v>909.86000000000013</v>
      </c>
      <c r="P15" s="909">
        <f t="shared" si="1"/>
        <v>1296.5333333333333</v>
      </c>
      <c r="Q15" s="909">
        <f t="shared" ca="1" si="1"/>
        <v>2968197.449651313</v>
      </c>
    </row>
    <row r="17" spans="1:17">
      <c r="A17" s="452" t="s">
        <v>551</v>
      </c>
      <c r="B17" s="715">
        <f ca="1">huishoudens!B10</f>
        <v>0.19039064025187272</v>
      </c>
      <c r="C17" s="715">
        <f ca="1">huishoudens!C10</f>
        <v>0.23355473554735551</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38100.588594414141</v>
      </c>
      <c r="C22" s="442">
        <f t="shared" ref="C22:C32" ca="1" si="3">C4*$C$17</f>
        <v>0</v>
      </c>
      <c r="D22" s="442">
        <f t="shared" ref="D22:D32" si="4">D4*$D$17</f>
        <v>111952.83839943811</v>
      </c>
      <c r="E22" s="442">
        <f t="shared" ref="E22:E32" si="5">E4*$E$17</f>
        <v>1270.0728834503007</v>
      </c>
      <c r="F22" s="442">
        <f t="shared" ref="F22:F32" si="6">F4*$F$17</f>
        <v>47127.072703821774</v>
      </c>
      <c r="G22" s="442">
        <f t="shared" ref="G22:G32" si="7">G4*$G$17</f>
        <v>0</v>
      </c>
      <c r="H22" s="442">
        <f t="shared" ref="H22:H32" si="8">H4*$H$17</f>
        <v>0</v>
      </c>
      <c r="I22" s="442">
        <f t="shared" ref="I22:I32" si="9">I4*$I$17</f>
        <v>0</v>
      </c>
      <c r="J22" s="442">
        <f t="shared" ref="J22:J32" si="10">J4*$J$17</f>
        <v>1457.1031854948658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199907.67576661918</v>
      </c>
    </row>
    <row r="23" spans="1:17">
      <c r="A23" s="441" t="s">
        <v>149</v>
      </c>
      <c r="B23" s="442">
        <f t="shared" ca="1" si="2"/>
        <v>60068.612739885764</v>
      </c>
      <c r="C23" s="442">
        <f t="shared" ca="1" si="3"/>
        <v>0</v>
      </c>
      <c r="D23" s="442">
        <f t="shared" ca="1" si="4"/>
        <v>66193.88778723267</v>
      </c>
      <c r="E23" s="442">
        <f t="shared" si="5"/>
        <v>896.91647696066138</v>
      </c>
      <c r="F23" s="442">
        <f t="shared" ca="1" si="6"/>
        <v>17745.206581530423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144904.62358560952</v>
      </c>
    </row>
    <row r="24" spans="1:17">
      <c r="A24" s="441" t="s">
        <v>187</v>
      </c>
      <c r="B24" s="442">
        <f t="shared" ca="1" si="2"/>
        <v>1568.2157181271134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1568.2157181271134</v>
      </c>
    </row>
    <row r="25" spans="1:17">
      <c r="A25" s="441" t="s">
        <v>105</v>
      </c>
      <c r="B25" s="442">
        <f t="shared" ca="1" si="2"/>
        <v>1448.047143305299</v>
      </c>
      <c r="C25" s="442">
        <f t="shared" ca="1" si="3"/>
        <v>13.512809699525569</v>
      </c>
      <c r="D25" s="442">
        <f t="shared" si="4"/>
        <v>2675.2522160556618</v>
      </c>
      <c r="E25" s="442">
        <f t="shared" si="5"/>
        <v>37.021962290822046</v>
      </c>
      <c r="F25" s="442">
        <f t="shared" si="6"/>
        <v>6586.9795201317474</v>
      </c>
      <c r="G25" s="442">
        <f t="shared" si="7"/>
        <v>0</v>
      </c>
      <c r="H25" s="442">
        <f t="shared" si="8"/>
        <v>0</v>
      </c>
      <c r="I25" s="442">
        <f t="shared" si="9"/>
        <v>0</v>
      </c>
      <c r="J25" s="442">
        <f t="shared" si="10"/>
        <v>259.41463297486467</v>
      </c>
      <c r="K25" s="442">
        <f t="shared" si="11"/>
        <v>0</v>
      </c>
      <c r="L25" s="442">
        <f t="shared" si="12"/>
        <v>0</v>
      </c>
      <c r="M25" s="442">
        <f t="shared" si="13"/>
        <v>0</v>
      </c>
      <c r="N25" s="442">
        <f t="shared" si="14"/>
        <v>0</v>
      </c>
      <c r="O25" s="442">
        <f t="shared" si="15"/>
        <v>0</v>
      </c>
      <c r="P25" s="443">
        <f t="shared" si="16"/>
        <v>0</v>
      </c>
      <c r="Q25" s="441">
        <f t="shared" ca="1" si="17"/>
        <v>11020.22828445792</v>
      </c>
    </row>
    <row r="26" spans="1:17">
      <c r="A26" s="441" t="s">
        <v>612</v>
      </c>
      <c r="B26" s="442">
        <f t="shared" ca="1" si="2"/>
        <v>19972.775442266568</v>
      </c>
      <c r="C26" s="442">
        <f t="shared" ca="1" si="3"/>
        <v>0</v>
      </c>
      <c r="D26" s="442">
        <f t="shared" si="4"/>
        <v>34110.118232360248</v>
      </c>
      <c r="E26" s="442">
        <f t="shared" si="5"/>
        <v>1466.6923736783037</v>
      </c>
      <c r="F26" s="442">
        <f t="shared" si="6"/>
        <v>17275.461852231962</v>
      </c>
      <c r="G26" s="442">
        <f t="shared" si="7"/>
        <v>0</v>
      </c>
      <c r="H26" s="442">
        <f t="shared" si="8"/>
        <v>0</v>
      </c>
      <c r="I26" s="442">
        <f t="shared" si="9"/>
        <v>0</v>
      </c>
      <c r="J26" s="442">
        <f t="shared" si="10"/>
        <v>267.53889623518518</v>
      </c>
      <c r="K26" s="442">
        <f t="shared" si="11"/>
        <v>0</v>
      </c>
      <c r="L26" s="442">
        <f t="shared" si="12"/>
        <v>0</v>
      </c>
      <c r="M26" s="442">
        <f t="shared" si="13"/>
        <v>0</v>
      </c>
      <c r="N26" s="442">
        <f t="shared" si="14"/>
        <v>0</v>
      </c>
      <c r="O26" s="442">
        <f t="shared" si="15"/>
        <v>0</v>
      </c>
      <c r="P26" s="443">
        <f t="shared" si="16"/>
        <v>0</v>
      </c>
      <c r="Q26" s="441">
        <f t="shared" ca="1" si="17"/>
        <v>73092.586796772273</v>
      </c>
    </row>
    <row r="27" spans="1:17" s="447" customFormat="1">
      <c r="A27" s="445" t="s">
        <v>556</v>
      </c>
      <c r="B27" s="709">
        <f t="shared" ca="1" si="2"/>
        <v>21.696874461025587</v>
      </c>
      <c r="C27" s="446">
        <f t="shared" ca="1" si="3"/>
        <v>0</v>
      </c>
      <c r="D27" s="446">
        <f t="shared" si="4"/>
        <v>36.355746082345824</v>
      </c>
      <c r="E27" s="446">
        <f t="shared" si="5"/>
        <v>402.51157695829841</v>
      </c>
      <c r="F27" s="446">
        <f t="shared" si="6"/>
        <v>0</v>
      </c>
      <c r="G27" s="446">
        <f t="shared" si="7"/>
        <v>160760.26715311725</v>
      </c>
      <c r="H27" s="446">
        <f t="shared" si="8"/>
        <v>27535.01218885557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188755.84353947447</v>
      </c>
    </row>
    <row r="28" spans="1:17">
      <c r="A28" s="441" t="s">
        <v>546</v>
      </c>
      <c r="B28" s="442">
        <f t="shared" ca="1" si="2"/>
        <v>177.84526084991245</v>
      </c>
      <c r="C28" s="442">
        <f t="shared" ca="1" si="3"/>
        <v>0</v>
      </c>
      <c r="D28" s="442">
        <f t="shared" si="4"/>
        <v>0</v>
      </c>
      <c r="E28" s="442">
        <f t="shared" si="5"/>
        <v>0</v>
      </c>
      <c r="F28" s="442">
        <f t="shared" si="6"/>
        <v>0</v>
      </c>
      <c r="G28" s="442">
        <f t="shared" si="7"/>
        <v>5830.1785628446451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6008.0238236945579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2083.7804349750072</v>
      </c>
      <c r="C32" s="442">
        <f t="shared" ca="1" si="3"/>
        <v>0</v>
      </c>
      <c r="D32" s="442">
        <f t="shared" si="4"/>
        <v>6910.8558981287379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8994.6363331037446</v>
      </c>
    </row>
    <row r="33" spans="1:17" s="451" customFormat="1">
      <c r="A33" s="969" t="s">
        <v>550</v>
      </c>
      <c r="B33" s="909">
        <f ca="1">SUM(B22:B32)</f>
        <v>123441.56220828483</v>
      </c>
      <c r="C33" s="909">
        <f t="shared" ref="C33:Q33" ca="1" si="18">SUM(C22:C32)</f>
        <v>13.512809699525569</v>
      </c>
      <c r="D33" s="909">
        <f t="shared" ca="1" si="18"/>
        <v>221879.30827929778</v>
      </c>
      <c r="E33" s="909">
        <f t="shared" si="18"/>
        <v>4073.2152733383864</v>
      </c>
      <c r="F33" s="909">
        <f t="shared" ca="1" si="18"/>
        <v>88734.720657715909</v>
      </c>
      <c r="G33" s="909">
        <f t="shared" si="18"/>
        <v>166590.44571596189</v>
      </c>
      <c r="H33" s="909">
        <f t="shared" si="18"/>
        <v>27535.01218885557</v>
      </c>
      <c r="I33" s="909">
        <f t="shared" si="18"/>
        <v>0</v>
      </c>
      <c r="J33" s="909">
        <f t="shared" si="18"/>
        <v>1984.0567147049155</v>
      </c>
      <c r="K33" s="909">
        <f t="shared" si="18"/>
        <v>0</v>
      </c>
      <c r="L33" s="909">
        <f t="shared" ca="1" si="18"/>
        <v>0</v>
      </c>
      <c r="M33" s="909">
        <f t="shared" si="18"/>
        <v>0</v>
      </c>
      <c r="N33" s="909">
        <f t="shared" ca="1" si="18"/>
        <v>0</v>
      </c>
      <c r="O33" s="909">
        <f t="shared" si="18"/>
        <v>0</v>
      </c>
      <c r="P33" s="909">
        <f t="shared" si="18"/>
        <v>0</v>
      </c>
      <c r="Q33" s="909">
        <f t="shared" ca="1" si="18"/>
        <v>634251.83384785871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58865.205099733474</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30936.756420834943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29.25</v>
      </c>
      <c r="D8" s="986">
        <f>'SEAP template'!D76</f>
        <v>33.819188191881921</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6.8314760147601481</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89801.961520568409</v>
      </c>
      <c r="C10" s="990">
        <f>SUM(C4:C9)</f>
        <v>29.25</v>
      </c>
      <c r="D10" s="990">
        <f t="shared" ref="D10:H10" si="0">SUM(D8:D9)</f>
        <v>33.819188191881921</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6.8314760147601481</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0.19039064025187272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57.857142857142861</v>
      </c>
      <c r="D17" s="987">
        <f>'SEAP template'!D87</f>
        <v>66.895097522403802</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13.512809699525569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57.857142857142861</v>
      </c>
      <c r="D20" s="990">
        <f t="shared" ref="D20:H20" si="2">SUM(D17:D19)</f>
        <v>66.895097522403802</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13.512809699525569</v>
      </c>
    </row>
    <row r="22" spans="1:16">
      <c r="A22" s="452" t="s">
        <v>826</v>
      </c>
      <c r="B22" s="715" t="s">
        <v>820</v>
      </c>
      <c r="C22" s="715">
        <f ca="1">'EF ele_warmte'!B22</f>
        <v>0.23355473554735551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0.19039064025187272</v>
      </c>
      <c r="C17" s="489">
        <f ca="1">'EF ele_warmte'!B22</f>
        <v>0.23355473554735551</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3</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4.6900000000000004</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1</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19.066666666666666</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2022-07-26T11:34:28Z</dcterms:modified>
</cp:coreProperties>
</file>