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A15A7844-6F21-45CA-A8DB-C845C206BB9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<sst xmlns="http://schemas.openxmlformats.org/spreadsheetml/2006/main" count="2436" uniqueCount="907">
  <si>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</si>
  <si>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</si>
  <si>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</si>
  <si>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</si>
  <si>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</si>
  <si>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</si>
  <si>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</si>
  <si>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</si>
  <si>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</si>
  <si>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</si>
  <si>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</si>
  <si>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</si>
  <si>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</si>
  <si>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</si>
  <si>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</si>
  <si>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</si>
  <si>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</si>
  <si>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</si>
  <si>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</si>
  <si>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</si>
  <si>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</si>
  <si>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</si>
  <si>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</si>
  <si>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</si>
  <si>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</si>
  <si>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</si>
  <si>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</si>
  <si>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</si>
  <si>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</si>
  <si>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</si>
  <si>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</si>
  <si>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</si>
  <si>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</si>
  <si>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</si>
  <si>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</si>
  <si>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</si>
  <si>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</si>
  <si>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</si>
  <si>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</si>
  <si>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</si>
  <si>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</si>
  <si>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</si>
  <si>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</si>
  <si>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</si>
  <si>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</si>
  <si>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</si>
  <si>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</si>
  <si>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</si>
  <si>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</si>
  <si>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</si>
  <si>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</si>
  <si>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</si>
  <si>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</si>
  <si>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</si>
  <si>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</si>
  <si>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</si>
  <si>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</si>
  <si>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</si>
  <si>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</si>
  <si>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</si>
  <si>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</si>
  <si>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</si>
  <si>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</si>
  <si>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</si>
  <si>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</si>
  <si>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</si>
  <si>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</si>
  <si>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</si>
  <si>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</si>
  <si>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</si>
  <si>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</si>
  <si>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</si>
  <si>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</si>
  <si>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</si>
  <si>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</si>
  <si>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</si>
  <si>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</si>
  <si>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</si>
  <si>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</si>
  <si>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</si>
  <si>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</si>
  <si>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</si>
  <si>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</si>
  <si>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</si>
  <si>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</si>
  <si>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</si>
  <si>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</si>
  <si>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</si>
  <si>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</si>
  <si>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</si>
  <si>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</si>
  <si>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</si>
  <si>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</si>
  <si>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</si>
  <si>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</si>
  <si>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</si>
  <si>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</si>
  <si>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</si>
  <si>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</si>
  <si>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</si>
  <si>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</si>
  <si>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</si>
  <si>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</si>
  <si>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</si>
  <si>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</si>
  <si>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</si>
  <si>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</si>
  <si>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</si>
  <si>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</si>
  <si>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</si>
  <si>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</si>
  <si>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</si>
  <si>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</si>
  <si>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</si>
  <si>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</si>
  <si>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</si>
  <si>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</si>
  <si>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</si>
  <si>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</si>
  <si>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</si>
  <si>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</si>
  <si>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</si>
  <si>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</si>
  <si>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</si>
  <si>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</si>
  <si>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</si>
  <si>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</si>
  <si>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</si>
  <si>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</si>
  <si>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</si>
  <si>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</si>
  <si>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</si>
  <si>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</si>
  <si>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</si>
  <si>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</si>
  <si>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</si>
  <si>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</si>
  <si>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</si>
  <si>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</si>
  <si>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</si>
  <si>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</si>
  <si>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</si>
  <si>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</si>
  <si>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</si>
  <si>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</si>
  <si>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</si>
  <si>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</si>
  <si>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</si>
  <si>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</si>
  <si>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</si>
  <si>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</si>
  <si>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</si>
  <si>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</si>
  <si>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</si>
  <si>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</si>
  <si>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</si>
  <si>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</si>
  <si>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</si>
  <si>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</si>
  <si>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</si>
  <si>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</si>
  <si>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</si>
  <si>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</si>
  <si>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</si>
  <si>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</si>
  <si>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</si>
  <si>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</si>
  <si>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</si>
  <si>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</si>
  <si>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</si>
  <si>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</si>
  <si>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</si>
  <si>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</si>
  <si>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</si>
  <si>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</si>
  <si>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</si>
  <si>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</si>
  <si>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</si>
  <si>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</si>
  <si>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</si>
  <si>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</si>
  <si>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</si>
  <si>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</si>
  <si>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</si>
  <si>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</si>
  <si>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</si>
  <si>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</si>
  <si>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</si>
  <si>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</si>
  <si>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</si>
  <si>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</si>
  <si>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</si>
  <si>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</si>
  <si>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</si>
  <si>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</si>
  <si>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</si>
  <si>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</si>
  <si>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</si>
  <si>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</si>
  <si>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</si>
  <si>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</si>
  <si>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</si>
  <si>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</si>
  <si>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</si>
  <si>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</si>
  <si>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</si>
  <si>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</si>
  <si>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</si>
  <si>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</si>
  <si>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</si>
  <si>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</si>
  <si>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</si>
  <si>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</si>
  <si>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</si>
  <si>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</si>
  <si>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</si>
  <si>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</si>
  <si>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</si>
  <si>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</si>
  <si>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</si>
  <si>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</si>
  <si>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</si>
  <si>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</si>
  <si>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</si>
  <si>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</si>
  <si>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</si>
  <si>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</si>
  <si>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</si>
  <si>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</si>
  <si>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</si>
  <si>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</si>
  <si>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</si>
  <si>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</si>
  <si>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</si>
  <si>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</si>
  <si>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</si>
  <si>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</si>
  <si>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</si>
  <si>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</si>
  <si>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</si>
  <si>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</si>
  <si>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</si>
  <si>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</si>
  <si>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</si>
  <si>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</si>
  <si>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</si>
  <si>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</si>
  <si>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</si>
  <si>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</si>
  <si>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</si>
  <si>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</si>
  <si>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</si>
  <si>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</si>
  <si>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</si>
  <si>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</si>
  <si>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</si>
  <si>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</si>
  <si>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</si>
  <si>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</si>
  <si>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</si>
  <si>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</si>
  <si>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</si>
  <si>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</si>
  <si>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</si>
  <si>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</si>
  <si>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</si>
  <si>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</si>
  <si>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</si>
  <si>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</si>
  <si>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</si>
  <si>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</si>
  <si>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</si>
  <si>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</si>
  <si>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</si>
  <si>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</si>
  <si>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</si>
  <si>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</si>
  <si>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</si>
  <si>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</si>
  <si>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</si>
  <si>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</si>
  <si>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</si>
  <si>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</si>
  <si>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</si>
  <si>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</si>
  <si>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</si>
  <si>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</si>
  <si>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</si>
  <si>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</si>
  <si>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</si>
  <si>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</si>
  <si>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</si>
  <si>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</si>
  <si>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</si>
  <si>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</si>
  <si>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</si>
  <si>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</si>
  <si>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</si>
  <si>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</si>
  <si>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</si>
  <si>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</si>
  <si>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</si>
  <si>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</si>
  <si>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</si>
  <si>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</si>
  <si>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</si>
  <si>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</si>
  <si>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</si>
  <si>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</si>
  <si>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</si>
  <si>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</si>
  <si>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</si>
  <si>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</si>
  <si>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</si>
  <si>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</si>
  <si>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</si>
  <si>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</si>
  <si>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</si>
  <si>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</si>
  <si>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</si>
  <si>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</si>
  <si>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</si>
  <si>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</si>
  <si>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</si>
  <si>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</si>
  <si>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</si>
  <si>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</si>
  <si>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</si>
  <si>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</si>
  <si>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</si>
  <si>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</si>
  <si>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</si>
  <si>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</si>
  <si>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</si>
  <si>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</si>
  <si>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</si>
  <si>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</si>
  <si>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</si>
  <si>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</si>
  <si>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</si>
  <si>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</si>
  <si>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</si>
  <si>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</si>
  <si>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</si>
  <si>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</si>
  <si>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</si>
  <si>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</si>
  <si>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</si>
  <si>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</si>
  <si>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</si>
  <si>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</si>
  <si>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</si>
  <si>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</si>
  <si>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</si>
  <si>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</si>
  <si>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</si>
  <si>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</si>
  <si>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</si>
  <si>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</si>
  <si>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</si>
  <si>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</si>
  <si>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</si>
  <si>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</si>
  <si>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</si>
  <si>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</si>
  <si>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</si>
  <si>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</si>
  <si>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</si>
  <si>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</si>
  <si>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</si>
  <si>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</si>
  <si>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</si>
  <si>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</si>
  <si>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</si>
  <si>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</si>
  <si>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</si>
  <si>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</si>
  <si>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</si>
  <si>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</si>
  <si>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</si>
  <si>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</si>
  <si>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</si>
  <si>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</si>
  <si>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</si>
  <si>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</si>
  <si>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</si>
  <si>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</si>
  <si>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</si>
  <si>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</si>
  <si>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</si>
  <si>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</si>
  <si>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</si>
  <si>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</si>
  <si>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</si>
  <si>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</si>
  <si>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</si>
  <si>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</si>
  <si>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</si>
  <si>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</si>
  <si>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</si>
  <si>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</si>
  <si>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</si>
  <si>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</si>
  <si>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</si>
  <si>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</si>
  <si>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</si>
  <si>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</si>
  <si>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</si>
  <si>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</si>
  <si>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</si>
  <si>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</si>
  <si>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</si>
  <si>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</si>
  <si>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</si>
  <si>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</si>
  <si>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</si>
  <si>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</si>
  <si>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</si>
  <si>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</si>
  <si>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</si>
  <si>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</si>
  <si>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</si>
  <si>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</si>
  <si>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</si>
  <si>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</si>
  <si>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</si>
  <si>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</si>
  <si>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</si>
  <si>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</si>
  <si>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</si>
  <si>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</si>
  <si>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</si>
  <si>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</si>
  <si>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</si>
  <si>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</si>
  <si>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</si>
  <si>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</si>
  <si>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</si>
  <si>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</si>
  <si>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</si>
  <si>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</si>
  <si>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</si>
  <si>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</si>
  <si>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</si>
  <si>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</si>
  <si>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</si>
  <si>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</si>
  <si>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</si>
  <si>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</si>
  <si>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</si>
  <si>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</si>
  <si>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</si>
  <si>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</si>
  <si>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</si>
  <si>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</si>
  <si>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</si>
  <si>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</si>
  <si>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</si>
  <si>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</si>
  <si>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</si>
  <si>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</si>
  <si>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</si>
  <si>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</si>
  <si>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</si>
  <si>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</si>
  <si>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</si>
  <si>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</si>
  <si>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</si>
  <si>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</si>
  <si>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</si>
  <si>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</si>
  <si>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</si>
  <si>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</si>
  <si>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</si>
  <si>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</si>
  <si>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</si>
  <si>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</si>
  <si>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</si>
  <si>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</si>
  <si>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</si>
  <si>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</si>
  <si>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</si>
  <si>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</si>
  <si>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</si>
  <si>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</si>
  <si>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</si>
  <si>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</si>
  <si>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</si>
  <si>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</si>
  <si>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</si>
  <si>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</si>
  <si>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</si>
  <si>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</si>
  <si>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</si>
  <si>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</si>
  <si>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</si>
  <si>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</si>
  <si>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</si>
  <si>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</si>
  <si>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</si>
  <si>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</si>
  <si>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</si>
  <si>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</si>
  <si>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</si>
  <si>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</si>
  <si>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</si>
  <si>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</si>
  <si>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</si>
  <si>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</si>
  <si>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</si>
  <si>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</si>
  <si>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</si>
  <si>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</si>
  <si>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</si>
  <si>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</si>
  <si>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</si>
  <si>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</si>
  <si>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</si>
  <si>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</si>
  <si>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</si>
  <si>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</si>
  <si>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</si>
  <si>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</si>
  <si>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</si>
  <si>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</si>
  <si>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</si>
  <si>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</si>
  <si>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</si>
  <si>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</si>
  <si>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</si>
  <si>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</si>
  <si>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</si>
  <si>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</si>
  <si>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</si>
  <si>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</si>
  <si>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</si>
  <si>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</si>
  <si>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</si>
  <si>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</si>
  <si>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</si>
  <si>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</si>
  <si>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</si>
  <si>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</si>
  <si>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</si>
  <si>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</si>
  <si>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</si>
  <si>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</si>
  <si>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</si>
  <si>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</si>
  <si>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</si>
  <si>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</si>
  <si>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</si>
  <si>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</si>
  <si>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</si>
  <si>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</si>
  <si>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</si>
  <si>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</si>
  <si>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</si>
  <si>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</si>
  <si>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</si>
  <si>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</si>
  <si>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</si>
  <si>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</si>
  <si>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</si>
  <si>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</si>
  <si>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</si>
  <si>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</si>
  <si>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</si>
  <si>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</si>
  <si>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</si>
  <si>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</si>
  <si>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</si>
  <si>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</si>
  <si>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</si>
  <si>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</si>
  <si>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</si>
  <si>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</si>
  <si>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</si>
  <si>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</si>
  <si>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</si>
  <si>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</si>
  <si>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</si>
  <si>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</si>
  <si>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</si>
  <si>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</si>
  <si>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</si>
  <si>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</si>
  <si>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</si>
  <si>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</si>
  <si>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</si>
  <si>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</si>
  <si>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</si>
  <si>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</si>
  <si>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</si>
  <si>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</si>
  <si>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</si>
  <si>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</si>
  <si>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</si>
  <si>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</si>
  <si>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</si>
  <si>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</si>
  <si>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</si>
  <si>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</si>
  <si>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</si>
  <si>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</si>
  <si>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</si>
  <si>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</si>
  <si>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</si>
  <si>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</si>
  <si>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</si>
  <si>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</si>
  <si>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</si>
  <si>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</si>
  <si>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</si>
  <si>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</si>
  <si>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</si>
  <si>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</si>
  <si>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</si>
  <si>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</si>
  <si>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</si>
  <si>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</si>
  <si>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</si>
  <si>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</si>
  <si>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</si>
  <si>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</si>
  <si>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</si>
  <si>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</si>
  <si>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</si>
  <si>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</si>
  <si>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</si>
  <si>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</si>
  <si>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</si>
  <si>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</si>
  <si>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</si>
  <si>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</si>
  <si>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</si>
  <si>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</si>
  <si>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</si>
  <si>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</si>
  <si>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</si>
  <si>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</si>
  <si>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</si>
  <si>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</si>
  <si>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</si>
  <si>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</si>
  <si>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</si>
  <si>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</si>
  <si>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</si>
  <si>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</si>
  <si>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</si>
  <si>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</si>
  <si>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</si>
  <si>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</si>
  <si>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</si>
  <si>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</si>
  <si>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</si>
  <si>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</si>
  <si>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</si>
  <si>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</si>
  <si>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</si>
  <si>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</si>
  <si>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</si>
  <si>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</si>
  <si>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</si>
  <si>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</si>
  <si>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</si>
  <si>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</si>
  <si>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</si>
  <si>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</si>
  <si>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</si>
  <si>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</si>
  <si>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</si>
  <si>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</si>
  <si>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</si>
  <si>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</si>
  <si>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</si>
  <si>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</si>
  <si>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</si>
  <si>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</si>
  <si>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</si>
  <si>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</si>
  <si>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</si>
  <si>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</si>
  <si>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</si>
  <si>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</si>
  <si>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</si>
  <si>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</si>
  <si>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</si>
  <si>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</si>
  <si>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</si>
  <si>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</si>
  <si>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</si>
  <si>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</si>
  <si>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</si>
  <si>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</si>
  <si>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</si>
  <si>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</si>
  <si>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</si>
  <si>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</si>
  <si>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</si>
  <si>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</si>
  <si>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</si>
  <si>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</si>
  <si>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</si>
  <si>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</si>
  <si>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</si>
  <si>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</si>
  <si>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</si>
  <si>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</si>
  <si>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</si>
  <si>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</si>
  <si>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</si>
  <si>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</si>
  <si>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</si>
  <si>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</si>
  <si>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</si>
  <si>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</si>
  <si>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</si>
  <si>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</si>
  <si>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</si>
  <si>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</si>
  <si>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</si>
  <si>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</si>
  <si>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</si>
  <si>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</si>
  <si>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</si>
  <si>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</si>
  <si>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</si>
  <si>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</si>
  <si>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</si>
  <si>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</si>
  <si>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</si>
  <si>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</si>
  <si>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</si>
  <si>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</si>
  <si>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</si>
  <si>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</si>
  <si>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</si>
  <si>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</si>
  <si>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</si>
  <si>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</si>
  <si>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</si>
  <si>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</si>
  <si>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</si>
  <si>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</si>
  <si>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</si>
  <si>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</si>
  <si>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</si>
  <si>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</si>
  <si>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</si>
  <si>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</si>
  <si>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</si>
  <si>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</si>
  <si>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</si>
  <si>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</si>
  <si>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</si>
  <si>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</si>
  <si>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</si>
  <si>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</si>
  <si>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</si>
  <si>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</si>
  <si>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</si>
  <si>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</si>
  <si>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</si>
  <si>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</si>
  <si>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</si>
  <si>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</si>
  <si>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</si>
  <si>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</si>
  <si>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</si>
  <si>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</si>
  <si>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</si>
  <si>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</si>
  <si>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</si>
  <si>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</si>
  <si>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</si>
  <si>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</si>
  <si>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</si>
  <si>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</si>
  <si>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</si>
  <si>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</si>
  <si>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</si>
  <si>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</si>
  <si>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</si>
  <si>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</si>
  <si>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</si>
  <si>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</si>
  <si>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</si>
  <si>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</si>
  <si>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</si>
  <si>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</si>
  <si>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</si>
  <si>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</si>
  <si>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</si>
  <si>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</si>
  <si>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</si>
  <si>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</si>
  <si>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</si>
  <si>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</si>
  <si>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</si>
  <si>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</si>
  <si>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</si>
  <si>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</si>
  <si>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</si>
  <si>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</si>
  <si>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</si>
  <si>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</si>
  <si>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</si>
  <si>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</si>
  <si>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</si>
  <si>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</si>
  <si>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</si>
  <si>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</si>
  <si>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</si>
  <si>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</si>
  <si>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</si>
  <si>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</si>
  <si>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</si>
  <si>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</si>
  <si>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</si>
  <si>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</si>
  <si>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</si>
  <si>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</si>
  <si>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</si>
  <si>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</si>
  <si>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</si>
  <si>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</si>
  <si>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</si>
  <si>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</si>
  <si>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</si>
  <si>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</si>
  <si>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</si>
  <si>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</si>
  <si>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</si>
  <si>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</si>
  <si>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</si>
  <si>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</si>
  <si>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</si>
  <si>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</si>
  <si>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</si>
  <si>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</si>
  <si>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</si>
  <si>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</si>
  <si>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</si>
  <si>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</si>
  <si>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</si>
  <si>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</si>
  <si>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</si>
  <si>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</si>
  <si>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</si>
  <si>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</si>
  <si>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</si>
  <si>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</si>
  <si>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</si>
  <si>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</si>
  <si>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</si>
  <si>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</si>
  <si>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</si>
  <si>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</si>
  <si>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</si>
  <si>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</si>
  <si>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</si>
  <si>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</si>
  <si>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</si>
  <si>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</si>
  <si>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</si>
  <si>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</si>
  <si>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</si>
  <si>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</si>
  <si>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</si>
  <si>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</si>
  <si>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</si>
  <si>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</si>
  <si>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</si>
  <si>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</si>
  <si>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</si>
  <si>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</si>
  <si>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</si>
  <si>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</si>
  <si>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</si>
  <si>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</si>
  <si>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</si>
  <si>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</si>
  <si>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</si>
  <si>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</si>
  <si>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</si>
  <si>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</si>
  <si>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</si>
  <si>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</si>
  <si>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</si>
  <si>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</si>
  <si>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</si>
  <si>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</si>
  <si>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</si>
  <si>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</si>
  <si>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</si>
  <si>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</si>
  <si>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</si>
  <si>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</si>
  <si>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23104</t>
  </si>
  <si>
    <t>LENNIK</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</si>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</sst>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36D8C89-E559-41BF-A63A-4459AC9706F5}"/>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81786.029834990288</c:v>
                </c:pt>
                <c:pt idx="1">
                  <c:v>17420.795414167962</c:v>
                </c:pt>
                <c:pt idx="2">
                  <c:v>604.58399999999995</c:v>
                </c:pt>
                <c:pt idx="3">
                  <c:v>6342.6073174573257</c:v>
                </c:pt>
                <c:pt idx="4">
                  <c:v>4894.6632329140366</c:v>
                </c:pt>
                <c:pt idx="5">
                  <c:v>92911.061343490423</c:v>
                </c:pt>
                <c:pt idx="6">
                  <c:v>1897.3688786467583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81786.029834990288</c:v>
                </c:pt>
                <c:pt idx="1">
                  <c:v>17420.795414167962</c:v>
                </c:pt>
                <c:pt idx="2">
                  <c:v>604.58399999999995</c:v>
                </c:pt>
                <c:pt idx="3">
                  <c:v>6342.6073174573257</c:v>
                </c:pt>
                <c:pt idx="4">
                  <c:v>4894.6632329140366</c:v>
                </c:pt>
                <c:pt idx="5">
                  <c:v>92911.061343490423</c:v>
                </c:pt>
                <c:pt idx="6">
                  <c:v>1897.3688786467583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18131.71450614099</c:v>
                </c:pt>
                <c:pt idx="2">
                  <c:v>3626.9385205592066</c:v>
                </c:pt>
                <c:pt idx="3">
                  <c:v>126.59528365142857</c:v>
                </c:pt>
                <c:pt idx="4">
                  <c:v>1482.1723980409035</c:v>
                </c:pt>
                <c:pt idx="5">
                  <c:v>1058.3914615428018</c:v>
                </c:pt>
                <c:pt idx="6">
                  <c:v>23254.36991225115</c:v>
                </c:pt>
                <c:pt idx="7">
                  <c:v>478.61537982712616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18131.71450614099</c:v>
                </c:pt>
                <c:pt idx="2">
                  <c:v>3626.9385205592066</c:v>
                </c:pt>
                <c:pt idx="3">
                  <c:v>126.59528365142857</c:v>
                </c:pt>
                <c:pt idx="4">
                  <c:v>1482.1723980409035</c:v>
                </c:pt>
                <c:pt idx="5">
                  <c:v>1058.3914615428018</c:v>
                </c:pt>
                <c:pt idx="6">
                  <c:v>23254.36991225115</c:v>
                </c:pt>
                <c:pt idx="7">
                  <c:v>478.61537982712616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23104</v>
      </c>
      <c r="B6" s="381"/>
      <c r="C6" s="382"/>
    </row>
    <row r="7" spans="1:7" s="379" customFormat="1" ht="15.75" customHeight="1">
      <c r="A7" s="383" t="str">
        <f>txtMunicipality</f>
        <v>LENNIK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0.20939238162344453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0.20939238162344453</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3530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1839</v>
      </c>
      <c r="C14" s="322"/>
      <c r="D14" s="322"/>
      <c r="E14" s="322"/>
      <c r="F14" s="322"/>
    </row>
    <row r="15" spans="1:6">
      <c r="A15" s="1261" t="s">
        <v>177</v>
      </c>
      <c r="B15" s="1262">
        <v>18</v>
      </c>
      <c r="C15" s="322"/>
      <c r="D15" s="322"/>
      <c r="E15" s="322"/>
      <c r="F15" s="322"/>
    </row>
    <row r="16" spans="1:6">
      <c r="A16" s="1261" t="s">
        <v>6</v>
      </c>
      <c r="B16" s="1262">
        <v>573</v>
      </c>
      <c r="C16" s="322"/>
      <c r="D16" s="322"/>
      <c r="E16" s="322"/>
      <c r="F16" s="322"/>
    </row>
    <row r="17" spans="1:6">
      <c r="A17" s="1261" t="s">
        <v>7</v>
      </c>
      <c r="B17" s="1262">
        <v>603</v>
      </c>
      <c r="C17" s="322"/>
      <c r="D17" s="322"/>
      <c r="E17" s="322"/>
      <c r="F17" s="322"/>
    </row>
    <row r="18" spans="1:6">
      <c r="A18" s="1261" t="s">
        <v>8</v>
      </c>
      <c r="B18" s="1262">
        <v>739</v>
      </c>
      <c r="C18" s="322"/>
      <c r="D18" s="322"/>
      <c r="E18" s="322"/>
      <c r="F18" s="322"/>
    </row>
    <row r="19" spans="1:6">
      <c r="A19" s="1261" t="s">
        <v>9</v>
      </c>
      <c r="B19" s="1262">
        <v>651</v>
      </c>
      <c r="C19" s="322"/>
      <c r="D19" s="322"/>
      <c r="E19" s="322"/>
      <c r="F19" s="322"/>
    </row>
    <row r="20" spans="1:6">
      <c r="A20" s="1261" t="s">
        <v>10</v>
      </c>
      <c r="B20" s="1262">
        <v>491</v>
      </c>
      <c r="C20" s="322"/>
      <c r="D20" s="322"/>
      <c r="E20" s="322"/>
      <c r="F20" s="322"/>
    </row>
    <row r="21" spans="1:6">
      <c r="A21" s="1261" t="s">
        <v>11</v>
      </c>
      <c r="B21" s="1262">
        <v>8</v>
      </c>
      <c r="C21" s="322"/>
      <c r="D21" s="322"/>
      <c r="E21" s="322"/>
      <c r="F21" s="322"/>
    </row>
    <row r="22" spans="1:6">
      <c r="A22" s="1261" t="s">
        <v>12</v>
      </c>
      <c r="B22" s="1262">
        <v>11</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1</v>
      </c>
      <c r="C25" s="322"/>
      <c r="D25" s="322"/>
      <c r="E25" s="322"/>
      <c r="F25" s="322"/>
    </row>
    <row r="26" spans="1:6">
      <c r="A26" s="1261" t="s">
        <v>16</v>
      </c>
      <c r="B26" s="1262">
        <v>380</v>
      </c>
      <c r="C26" s="322"/>
      <c r="D26" s="322"/>
      <c r="E26" s="322"/>
      <c r="F26" s="322"/>
    </row>
    <row r="27" spans="1:6">
      <c r="A27" s="1261" t="s">
        <v>17</v>
      </c>
      <c r="B27" s="1262">
        <v>8</v>
      </c>
      <c r="C27" s="322"/>
      <c r="D27" s="322"/>
      <c r="E27" s="322"/>
      <c r="F27" s="322"/>
    </row>
    <row r="28" spans="1:6">
      <c r="A28" s="1261" t="s">
        <v>18</v>
      </c>
      <c r="B28" s="1263">
        <v>11300</v>
      </c>
      <c r="C28" s="322"/>
      <c r="D28" s="322"/>
      <c r="E28" s="322"/>
      <c r="F28" s="322"/>
    </row>
    <row r="29" spans="1:6">
      <c r="A29" s="1261" t="s">
        <v>901</v>
      </c>
      <c r="B29" s="1263">
        <v>183</v>
      </c>
      <c r="C29" s="322"/>
      <c r="D29" s="322"/>
      <c r="E29" s="322"/>
      <c r="F29" s="322"/>
    </row>
    <row r="30" spans="1:6">
      <c r="A30" s="1256" t="s">
        <v>902</v>
      </c>
      <c r="B30" s="1264">
        <v>20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1356</v>
      </c>
      <c r="D39" s="1262">
        <v>23504685.400385201</v>
      </c>
      <c r="E39" s="1262">
        <v>3390</v>
      </c>
      <c r="F39" s="1262">
        <v>17042686</v>
      </c>
    </row>
    <row r="40" spans="1:6">
      <c r="A40" s="1261" t="s">
        <v>29</v>
      </c>
      <c r="B40" s="1261" t="s">
        <v>28</v>
      </c>
      <c r="C40" s="1262">
        <v>0</v>
      </c>
      <c r="D40" s="1262">
        <v>0</v>
      </c>
      <c r="E40" s="1262">
        <v>1</v>
      </c>
      <c r="F40" s="1262">
        <v>2305</v>
      </c>
    </row>
    <row r="41" spans="1:6">
      <c r="A41" s="1261" t="s">
        <v>31</v>
      </c>
      <c r="B41" s="1261" t="s">
        <v>32</v>
      </c>
      <c r="C41" s="1262">
        <v>21</v>
      </c>
      <c r="D41" s="1262">
        <v>510827.25414052198</v>
      </c>
      <c r="E41" s="1262">
        <v>78</v>
      </c>
      <c r="F41" s="1262">
        <v>985337.4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19763.810000000001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6</v>
      </c>
      <c r="D48" s="1262">
        <v>146751.17709955401</v>
      </c>
      <c r="E48" s="1262">
        <v>23</v>
      </c>
      <c r="F48" s="1262">
        <v>1412089</v>
      </c>
    </row>
    <row r="49" spans="1:6">
      <c r="A49" s="1261" t="s">
        <v>31</v>
      </c>
      <c r="B49" s="1261" t="s">
        <v>39</v>
      </c>
      <c r="C49" s="1262">
        <v>0</v>
      </c>
      <c r="D49" s="1262">
        <v>0</v>
      </c>
      <c r="E49" s="1262">
        <v>0</v>
      </c>
      <c r="F49" s="1262">
        <v>0</v>
      </c>
    </row>
    <row r="50" spans="1:6">
      <c r="A50" s="1261" t="s">
        <v>31</v>
      </c>
      <c r="B50" s="1261" t="s">
        <v>40</v>
      </c>
      <c r="C50" s="1262">
        <v>0</v>
      </c>
      <c r="D50" s="1262">
        <v>0</v>
      </c>
      <c r="E50" s="1262">
        <v>3</v>
      </c>
      <c r="F50" s="1262">
        <v>79319.73</v>
      </c>
    </row>
    <row r="51" spans="1:6">
      <c r="A51" s="1261" t="s">
        <v>41</v>
      </c>
      <c r="B51" s="1261" t="s">
        <v>42</v>
      </c>
      <c r="C51" s="1262">
        <v>0</v>
      </c>
      <c r="D51" s="1262">
        <v>0</v>
      </c>
      <c r="E51" s="1262">
        <v>61</v>
      </c>
      <c r="F51" s="1262">
        <v>818131.2</v>
      </c>
    </row>
    <row r="52" spans="1:6">
      <c r="A52" s="1261" t="s">
        <v>41</v>
      </c>
      <c r="B52" s="1261" t="s">
        <v>28</v>
      </c>
      <c r="C52" s="1262">
        <v>6</v>
      </c>
      <c r="D52" s="1262">
        <v>2538477.3994863601</v>
      </c>
      <c r="E52" s="1262">
        <v>9</v>
      </c>
      <c r="F52" s="1262">
        <v>96821.84</v>
      </c>
    </row>
    <row r="53" spans="1:6">
      <c r="A53" s="1261" t="s">
        <v>43</v>
      </c>
      <c r="B53" s="1261" t="s">
        <v>44</v>
      </c>
      <c r="C53" s="1262">
        <v>46</v>
      </c>
      <c r="D53" s="1262">
        <v>1045256.74354806</v>
      </c>
      <c r="E53" s="1262">
        <v>137</v>
      </c>
      <c r="F53" s="1262">
        <v>688614.5</v>
      </c>
    </row>
    <row r="54" spans="1:6">
      <c r="A54" s="1261" t="s">
        <v>45</v>
      </c>
      <c r="B54" s="1261" t="s">
        <v>46</v>
      </c>
      <c r="C54" s="1262">
        <v>0</v>
      </c>
      <c r="D54" s="1262">
        <v>0</v>
      </c>
      <c r="E54" s="1262">
        <v>1</v>
      </c>
      <c r="F54" s="1262">
        <v>604584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23</v>
      </c>
      <c r="D57" s="1262">
        <v>482631.03585532302</v>
      </c>
      <c r="E57" s="1262">
        <v>40</v>
      </c>
      <c r="F57" s="1262">
        <v>394593.5</v>
      </c>
    </row>
    <row r="58" spans="1:6">
      <c r="A58" s="1261" t="s">
        <v>48</v>
      </c>
      <c r="B58" s="1261" t="s">
        <v>50</v>
      </c>
      <c r="C58" s="1262">
        <v>14</v>
      </c>
      <c r="D58" s="1262">
        <v>502352.30931195902</v>
      </c>
      <c r="E58" s="1262">
        <v>26</v>
      </c>
      <c r="F58" s="1262">
        <v>692640.7</v>
      </c>
    </row>
    <row r="59" spans="1:6">
      <c r="A59" s="1261" t="s">
        <v>48</v>
      </c>
      <c r="B59" s="1261" t="s">
        <v>51</v>
      </c>
      <c r="C59" s="1262">
        <v>27</v>
      </c>
      <c r="D59" s="1262">
        <v>1043037.33620583</v>
      </c>
      <c r="E59" s="1262">
        <v>87</v>
      </c>
      <c r="F59" s="1262">
        <v>2409160</v>
      </c>
    </row>
    <row r="60" spans="1:6">
      <c r="A60" s="1261" t="s">
        <v>48</v>
      </c>
      <c r="B60" s="1261" t="s">
        <v>52</v>
      </c>
      <c r="C60" s="1262">
        <v>18</v>
      </c>
      <c r="D60" s="1262">
        <v>632719.73763743194</v>
      </c>
      <c r="E60" s="1262">
        <v>39</v>
      </c>
      <c r="F60" s="1262">
        <v>814097.9</v>
      </c>
    </row>
    <row r="61" spans="1:6">
      <c r="A61" s="1261" t="s">
        <v>48</v>
      </c>
      <c r="B61" s="1261" t="s">
        <v>53</v>
      </c>
      <c r="C61" s="1262">
        <v>60</v>
      </c>
      <c r="D61" s="1262">
        <v>2804681.9079217999</v>
      </c>
      <c r="E61" s="1262">
        <v>114</v>
      </c>
      <c r="F61" s="1262">
        <v>1385108</v>
      </c>
    </row>
    <row r="62" spans="1:6">
      <c r="A62" s="1261" t="s">
        <v>48</v>
      </c>
      <c r="B62" s="1261" t="s">
        <v>54</v>
      </c>
      <c r="C62" s="1262">
        <v>5</v>
      </c>
      <c r="D62" s="1262">
        <v>511055.04214033799</v>
      </c>
      <c r="E62" s="1262">
        <v>10</v>
      </c>
      <c r="F62" s="1262">
        <v>929110.5</v>
      </c>
    </row>
    <row r="63" spans="1:6">
      <c r="A63" s="1261" t="s">
        <v>48</v>
      </c>
      <c r="B63" s="1261" t="s">
        <v>28</v>
      </c>
      <c r="C63" s="1262">
        <v>55</v>
      </c>
      <c r="D63" s="1262">
        <v>2302338.8807053901</v>
      </c>
      <c r="E63" s="1262">
        <v>93</v>
      </c>
      <c r="F63" s="1262">
        <v>1235946</v>
      </c>
    </row>
    <row r="64" spans="1:6">
      <c r="A64" s="1261" t="s">
        <v>55</v>
      </c>
      <c r="B64" s="1261" t="s">
        <v>56</v>
      </c>
      <c r="C64" s="1262">
        <v>0</v>
      </c>
      <c r="D64" s="1262">
        <v>0</v>
      </c>
      <c r="E64" s="1262">
        <v>0</v>
      </c>
      <c r="F64" s="1262">
        <v>0</v>
      </c>
    </row>
    <row r="65" spans="1:6">
      <c r="A65" s="1261" t="s">
        <v>55</v>
      </c>
      <c r="B65" s="1261" t="s">
        <v>28</v>
      </c>
      <c r="C65" s="1262">
        <v>2</v>
      </c>
      <c r="D65" s="1262">
        <v>21406.323389131299</v>
      </c>
      <c r="E65" s="1262">
        <v>2</v>
      </c>
      <c r="F65" s="1262">
        <v>16903.93</v>
      </c>
    </row>
    <row r="66" spans="1:6">
      <c r="A66" s="1261" t="s">
        <v>55</v>
      </c>
      <c r="B66" s="1261" t="s">
        <v>57</v>
      </c>
      <c r="C66" s="1262">
        <v>0</v>
      </c>
      <c r="D66" s="1262">
        <v>0</v>
      </c>
      <c r="E66" s="1262">
        <v>13</v>
      </c>
      <c r="F66" s="1262">
        <v>277705.59999999998</v>
      </c>
    </row>
    <row r="67" spans="1:6">
      <c r="A67" s="1261" t="s">
        <v>55</v>
      </c>
      <c r="B67" s="1261" t="s">
        <v>58</v>
      </c>
      <c r="C67" s="1262">
        <v>0</v>
      </c>
      <c r="D67" s="1262">
        <v>0</v>
      </c>
      <c r="E67" s="1262">
        <v>0</v>
      </c>
      <c r="F67" s="1262">
        <v>0</v>
      </c>
    </row>
    <row r="68" spans="1:6">
      <c r="A68" s="1256" t="s">
        <v>55</v>
      </c>
      <c r="B68" s="1256" t="s">
        <v>59</v>
      </c>
      <c r="C68" s="1264">
        <v>0</v>
      </c>
      <c r="D68" s="1264">
        <v>0</v>
      </c>
      <c r="E68" s="1264">
        <v>4</v>
      </c>
      <c r="F68" s="1264">
        <v>29631.95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53779735</v>
      </c>
      <c r="E73" s="440"/>
      <c r="F73" s="322"/>
    </row>
    <row r="74" spans="1:6">
      <c r="A74" s="1261" t="s">
        <v>63</v>
      </c>
      <c r="B74" s="1261" t="s">
        <v>670</v>
      </c>
      <c r="C74" s="1274" t="s">
        <v>672</v>
      </c>
      <c r="D74" s="1262">
        <v>3004766.5273777191</v>
      </c>
      <c r="E74" s="440"/>
      <c r="F74" s="322"/>
    </row>
    <row r="75" spans="1:6">
      <c r="A75" s="1261" t="s">
        <v>64</v>
      </c>
      <c r="B75" s="1261" t="s">
        <v>669</v>
      </c>
      <c r="C75" s="1274" t="s">
        <v>673</v>
      </c>
      <c r="D75" s="1262">
        <v>50420568</v>
      </c>
      <c r="E75" s="440"/>
      <c r="F75" s="322"/>
    </row>
    <row r="76" spans="1:6">
      <c r="A76" s="1261" t="s">
        <v>64</v>
      </c>
      <c r="B76" s="1261" t="s">
        <v>670</v>
      </c>
      <c r="C76" s="1274" t="s">
        <v>674</v>
      </c>
      <c r="D76" s="1262">
        <v>1542461.5273777188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509600.94524456235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1485.0807592704223</v>
      </c>
      <c r="C91" s="322"/>
      <c r="D91" s="322"/>
      <c r="E91" s="322"/>
      <c r="F91" s="322"/>
    </row>
    <row r="92" spans="1:6">
      <c r="A92" s="1256" t="s">
        <v>68</v>
      </c>
      <c r="B92" s="1257">
        <v>105.7695072869295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622</v>
      </c>
      <c r="C97" s="322"/>
      <c r="D97" s="322"/>
      <c r="E97" s="322"/>
      <c r="F97" s="322"/>
    </row>
    <row r="98" spans="1:6">
      <c r="A98" s="1261" t="s">
        <v>71</v>
      </c>
      <c r="B98" s="1262">
        <v>2</v>
      </c>
      <c r="C98" s="322"/>
      <c r="D98" s="322"/>
      <c r="E98" s="322"/>
      <c r="F98" s="322"/>
    </row>
    <row r="99" spans="1:6">
      <c r="A99" s="1261" t="s">
        <v>72</v>
      </c>
      <c r="B99" s="1262">
        <v>79</v>
      </c>
      <c r="C99" s="322"/>
      <c r="D99" s="322"/>
      <c r="E99" s="322"/>
      <c r="F99" s="322"/>
    </row>
    <row r="100" spans="1:6">
      <c r="A100" s="1261" t="s">
        <v>73</v>
      </c>
      <c r="B100" s="1262">
        <v>385</v>
      </c>
      <c r="C100" s="322"/>
      <c r="D100" s="322"/>
      <c r="E100" s="322"/>
      <c r="F100" s="322"/>
    </row>
    <row r="101" spans="1:6">
      <c r="A101" s="1261" t="s">
        <v>74</v>
      </c>
      <c r="B101" s="1262">
        <v>43</v>
      </c>
      <c r="C101" s="322"/>
      <c r="D101" s="322"/>
      <c r="E101" s="322"/>
      <c r="F101" s="322"/>
    </row>
    <row r="102" spans="1:6">
      <c r="A102" s="1261" t="s">
        <v>75</v>
      </c>
      <c r="B102" s="1262">
        <v>42</v>
      </c>
      <c r="C102" s="322"/>
      <c r="D102" s="322"/>
      <c r="E102" s="322"/>
      <c r="F102" s="322"/>
    </row>
    <row r="103" spans="1:6">
      <c r="A103" s="1261" t="s">
        <v>76</v>
      </c>
      <c r="B103" s="1262">
        <v>96</v>
      </c>
      <c r="C103" s="322"/>
      <c r="D103" s="322"/>
      <c r="E103" s="322"/>
      <c r="F103" s="322"/>
    </row>
    <row r="104" spans="1:6">
      <c r="A104" s="1261" t="s">
        <v>77</v>
      </c>
      <c r="B104" s="1262">
        <v>2009</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8</v>
      </c>
      <c r="C123" s="1262">
        <v>11</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49</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10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31119.610172467383</v>
      </c>
      <c r="C3" s="43" t="s">
        <v>163</v>
      </c>
      <c r="D3" s="43"/>
      <c r="E3" s="153"/>
      <c r="F3" s="43"/>
      <c r="G3" s="43"/>
      <c r="H3" s="43"/>
      <c r="I3" s="43"/>
      <c r="J3" s="43"/>
      <c r="K3" s="96"/>
    </row>
    <row r="4" spans="1:11">
      <c r="A4" s="349" t="s">
        <v>164</v>
      </c>
      <c r="B4" s="49">
        <f>IF(ISERROR('SEAP template'!B78+'SEAP template'!C78),0,'SEAP template'!B78+'SEAP template'!C78)</f>
        <v>1634.5002665573518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0.20939238162344453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604.58399999999995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604.58399999999995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0.20939238162344453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126.59528365142857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17044.991000000002</v>
      </c>
      <c r="C5" s="17">
        <f>IF(ISERROR('Eigen informatie GS &amp; warmtenet'!B57),0,'Eigen informatie GS &amp; warmtenet'!B57)</f>
        <v>0</v>
      </c>
      <c r="D5" s="30">
        <f>(SUM(HH_hh_gas_kWh,HH_rest_gas_kWh)/1000)*0.902</f>
        <v>21201.226231147451</v>
      </c>
      <c r="E5" s="17">
        <f>B32*B41</f>
        <v>1118.8005807189606</v>
      </c>
      <c r="F5" s="17">
        <f>B36*B45</f>
        <v>35294.667881718153</v>
      </c>
      <c r="G5" s="18"/>
      <c r="H5" s="17"/>
      <c r="I5" s="17"/>
      <c r="J5" s="17">
        <f>B35*B44+C35*C44</f>
        <v>823.07032169573188</v>
      </c>
      <c r="K5" s="17"/>
      <c r="L5" s="17"/>
      <c r="M5" s="17"/>
      <c r="N5" s="17">
        <f>B34*B43+C34*C43</f>
        <v>4362.1263937728982</v>
      </c>
      <c r="O5" s="17">
        <f>B52*B53*B54</f>
        <v>93.8</v>
      </c>
      <c r="P5" s="17">
        <f>B60*B61*B62/1000-B60*B61*B62/1000/B63</f>
        <v>362.26666666666665</v>
      </c>
    </row>
    <row r="6" spans="1:16">
      <c r="A6" s="16" t="s">
        <v>593</v>
      </c>
      <c r="B6" s="717">
        <f>kWh_PV_kleiner_dan_10kW</f>
        <v>1485.0807592704223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18530.071759270424</v>
      </c>
      <c r="C8" s="21">
        <f>C5</f>
        <v>0</v>
      </c>
      <c r="D8" s="21">
        <f>D5</f>
        <v>21201.226231147451</v>
      </c>
      <c r="E8" s="21">
        <f>E5</f>
        <v>1118.8005807189606</v>
      </c>
      <c r="F8" s="21">
        <f>F5</f>
        <v>35294.667881718153</v>
      </c>
      <c r="G8" s="21"/>
      <c r="H8" s="21"/>
      <c r="I8" s="21"/>
      <c r="J8" s="21">
        <f>J5</f>
        <v>823.07032169573188</v>
      </c>
      <c r="K8" s="21"/>
      <c r="L8" s="21">
        <f>L5</f>
        <v>0</v>
      </c>
      <c r="M8" s="21">
        <f>M5</f>
        <v>0</v>
      </c>
      <c r="N8" s="21">
        <f>N5</f>
        <v>4362.1263937728982</v>
      </c>
      <c r="O8" s="21">
        <f>O5</f>
        <v>93.8</v>
      </c>
      <c r="P8" s="21">
        <f>P5</f>
        <v>362.26666666666665</v>
      </c>
    </row>
    <row r="9" spans="1:16">
      <c r="B9" s="19"/>
      <c r="C9" s="19"/>
      <c r="D9" s="253"/>
      <c r="E9" s="19"/>
      <c r="F9" s="19"/>
      <c r="G9" s="19"/>
      <c r="H9" s="19"/>
      <c r="I9" s="19"/>
      <c r="J9" s="19"/>
      <c r="K9" s="19"/>
      <c r="L9" s="19"/>
      <c r="M9" s="19"/>
      <c r="N9" s="19"/>
      <c r="O9" s="19"/>
      <c r="P9" s="19"/>
    </row>
    <row r="10" spans="1:16">
      <c r="A10" s="24" t="s">
        <v>207</v>
      </c>
      <c r="B10" s="25">
        <f ca="1">'EF ele_warmte'!B12</f>
        <v>0.20939238162344453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3880.055857326965</v>
      </c>
      <c r="C12" s="23">
        <f ca="1">C10*C8</f>
        <v>0</v>
      </c>
      <c r="D12" s="23">
        <f>D8*D10</f>
        <v>4282.6476986917851</v>
      </c>
      <c r="E12" s="23">
        <f>E10*E8</f>
        <v>253.96773182320408</v>
      </c>
      <c r="F12" s="23">
        <f>F10*F8</f>
        <v>9423.6763244187478</v>
      </c>
      <c r="G12" s="23"/>
      <c r="H12" s="23"/>
      <c r="I12" s="23"/>
      <c r="J12" s="23">
        <f>J10*J8</f>
        <v>291.36689388028907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3530</v>
      </c>
      <c r="C26" s="36"/>
      <c r="D26" s="224"/>
    </row>
    <row r="27" spans="1:5" s="15" customFormat="1">
      <c r="A27" s="226" t="s">
        <v>696</v>
      </c>
      <c r="B27" s="37">
        <f>SUM(HH_hh_gas_aantal,HH_rest_gas_aantal)</f>
        <v>1356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1288.2</v>
      </c>
      <c r="C31" s="34" t="s">
        <v>104</v>
      </c>
      <c r="D31" s="170"/>
    </row>
    <row r="32" spans="1:5">
      <c r="A32" s="167" t="s">
        <v>72</v>
      </c>
      <c r="B32" s="33">
        <f>IF((B21*($B$26-($B$27-0.05*$B$27)-$B$60))&lt;0,0,B21*($B$26-($B$27-0.05*$B$27)-$B$60))</f>
        <v>14.015244015381334</v>
      </c>
      <c r="C32" s="34" t="s">
        <v>104</v>
      </c>
      <c r="D32" s="170"/>
    </row>
    <row r="33" spans="1:6">
      <c r="A33" s="167" t="s">
        <v>73</v>
      </c>
      <c r="B33" s="33">
        <f>IF((B22*($B$26-($B$27-0.05*$B$27)-$B$60))&lt;0,0,B22*($B$26-($B$27-0.05*$B$27)-$B$60))</f>
        <v>488.06170999574437</v>
      </c>
      <c r="C33" s="34" t="s">
        <v>104</v>
      </c>
      <c r="D33" s="170"/>
    </row>
    <row r="34" spans="1:6">
      <c r="A34" s="167" t="s">
        <v>74</v>
      </c>
      <c r="B34" s="33">
        <f>IF((B24*($B$26-($B$27-0.05*$B$27)-$B$60))&lt;0,0,B24*($B$26-($B$27-0.05*$B$27)-$B$60))</f>
        <v>96.878090285421948</v>
      </c>
      <c r="C34" s="33">
        <f>B26*C24</f>
        <v>722.23687895848138</v>
      </c>
      <c r="D34" s="229"/>
    </row>
    <row r="35" spans="1:6">
      <c r="A35" s="167" t="s">
        <v>76</v>
      </c>
      <c r="B35" s="33">
        <f>IF((B19*($B$26-($B$27-0.05*$B$27)-$B$60))&lt;0,0,B19*($B$26-($B$27-0.05*$B$27)-$B$60))</f>
        <v>47.330456520584079</v>
      </c>
      <c r="C35" s="33">
        <f>B35/2</f>
        <v>23.665228260292039</v>
      </c>
      <c r="D35" s="229"/>
    </row>
    <row r="36" spans="1:6">
      <c r="A36" s="167" t="s">
        <v>77</v>
      </c>
      <c r="B36" s="33">
        <f>IF((B18*($B$26-($B$27-0.05*$B$27)-$B$60))&lt;0,0,B18*($B$26-($B$27-0.05*$B$27)-$B$60))</f>
        <v>1576.5144991828693</v>
      </c>
      <c r="C36" s="34" t="s">
        <v>104</v>
      </c>
      <c r="D36" s="170"/>
    </row>
    <row r="37" spans="1:6">
      <c r="A37" s="167" t="s">
        <v>78</v>
      </c>
      <c r="B37" s="33">
        <f>B60</f>
        <v>19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7860.6565999999993</v>
      </c>
      <c r="C5" s="17">
        <f>IF(ISERROR('Eigen informatie GS &amp; warmtenet'!B58),0,'Eigen informatie GS &amp; warmtenet'!B58)</f>
        <v>0</v>
      </c>
      <c r="D5" s="30">
        <f>SUM(D6:D12)</f>
        <v>7467.4922572998203</v>
      </c>
      <c r="E5" s="17">
        <f>SUM(E6:E12)</f>
        <v>108.4054341526307</v>
      </c>
      <c r="F5" s="17">
        <f>SUM(F6:F12)</f>
        <v>1677.660840576584</v>
      </c>
      <c r="G5" s="18"/>
      <c r="H5" s="17"/>
      <c r="I5" s="17"/>
      <c r="J5" s="17">
        <f>SUM(J6:J12)</f>
        <v>0</v>
      </c>
      <c r="K5" s="17"/>
      <c r="L5" s="17"/>
      <c r="M5" s="17"/>
      <c r="N5" s="17">
        <f>SUM(N6:N12)</f>
        <v>303.45361547225929</v>
      </c>
      <c r="O5" s="17">
        <f>B38*B39*B40</f>
        <v>3.1266666666666669</v>
      </c>
      <c r="P5" s="17">
        <f>B46*B47*B48/1000-B46*B47*B48/1000/B49</f>
        <v>0</v>
      </c>
      <c r="R5" s="32"/>
    </row>
    <row r="6" spans="1:18">
      <c r="A6" s="32" t="s">
        <v>53</v>
      </c>
      <c r="B6" s="37">
        <f>B26</f>
        <v>1385.1079999999999</v>
      </c>
      <c r="C6" s="33"/>
      <c r="D6" s="37">
        <f>IF(ISERROR(TER_kantoor_gas_kWh/1000),0,TER_kantoor_gas_kWh/1000)*0.902</f>
        <v>2529.8230809454635</v>
      </c>
      <c r="E6" s="33">
        <f>$C$26*'E Balans VL '!I12/100/3.6*1000000</f>
        <v>1.9424741088019032E-2</v>
      </c>
      <c r="F6" s="33">
        <f>$C$26*('E Balans VL '!L12+'E Balans VL '!N12)/100/3.6*1000000</f>
        <v>192.52773917492451</v>
      </c>
      <c r="G6" s="34"/>
      <c r="H6" s="33"/>
      <c r="I6" s="33"/>
      <c r="J6" s="33">
        <f>$C$26*('E Balans VL '!D12+'E Balans VL '!E12)/100/3.6*1000000</f>
        <v>0</v>
      </c>
      <c r="K6" s="33"/>
      <c r="L6" s="33"/>
      <c r="M6" s="33"/>
      <c r="N6" s="33">
        <f>$C$26*'E Balans VL '!Y12/100/3.6*1000000</f>
        <v>17.143180845534292</v>
      </c>
      <c r="O6" s="33"/>
      <c r="P6" s="33"/>
      <c r="R6" s="32"/>
    </row>
    <row r="7" spans="1:18">
      <c r="A7" s="32" t="s">
        <v>52</v>
      </c>
      <c r="B7" s="37">
        <f t="shared" ref="B7:B12" si="0">B27</f>
        <v>814.09789999999998</v>
      </c>
      <c r="C7" s="33"/>
      <c r="D7" s="37">
        <f>IF(ISERROR(TER_horeca_gas_kWh/1000),0,TER_horeca_gas_kWh/1000)*0.902</f>
        <v>570.7132033489637</v>
      </c>
      <c r="E7" s="33">
        <f>$C$27*'E Balans VL '!I9/100/3.6*1000000</f>
        <v>11.620628799288891</v>
      </c>
      <c r="F7" s="33">
        <f>$C$27*('E Balans VL '!L9+'E Balans VL '!N9)/100/3.6*1000000</f>
        <v>126.55948845740903</v>
      </c>
      <c r="G7" s="34"/>
      <c r="H7" s="33"/>
      <c r="I7" s="33"/>
      <c r="J7" s="33">
        <f>$C$27*('E Balans VL '!D9+'E Balans VL '!E9)/100/3.6*1000000</f>
        <v>0</v>
      </c>
      <c r="K7" s="33"/>
      <c r="L7" s="33"/>
      <c r="M7" s="33"/>
      <c r="N7" s="33">
        <f>$C$27*'E Balans VL '!Y9/100/3.6*1000000</f>
        <v>0.20978021967965335</v>
      </c>
      <c r="O7" s="33"/>
      <c r="P7" s="33"/>
      <c r="R7" s="32"/>
    </row>
    <row r="8" spans="1:18">
      <c r="A8" s="6" t="s">
        <v>51</v>
      </c>
      <c r="B8" s="37">
        <f t="shared" si="0"/>
        <v>2409.16</v>
      </c>
      <c r="C8" s="33"/>
      <c r="D8" s="37">
        <f>IF(ISERROR(TER_handel_gas_kWh/1000),0,TER_handel_gas_kWh/1000)*0.902</f>
        <v>940.81967725765855</v>
      </c>
      <c r="E8" s="33">
        <f>$C$28*'E Balans VL '!I13/100/3.6*1000000</f>
        <v>65.204474536485577</v>
      </c>
      <c r="F8" s="33">
        <f>$C$28*('E Balans VL '!L13+'E Balans VL '!N13)/100/3.6*1000000</f>
        <v>374.09765573855935</v>
      </c>
      <c r="G8" s="34"/>
      <c r="H8" s="33"/>
      <c r="I8" s="33"/>
      <c r="J8" s="33">
        <f>$C$28*('E Balans VL '!D13+'E Balans VL '!E13)/100/3.6*1000000</f>
        <v>0</v>
      </c>
      <c r="K8" s="33"/>
      <c r="L8" s="33"/>
      <c r="M8" s="33"/>
      <c r="N8" s="33">
        <f>$C$28*'E Balans VL '!Y13/100/3.6*1000000</f>
        <v>19.520651181138909</v>
      </c>
      <c r="O8" s="33"/>
      <c r="P8" s="33"/>
      <c r="R8" s="32"/>
    </row>
    <row r="9" spans="1:18">
      <c r="A9" s="32" t="s">
        <v>50</v>
      </c>
      <c r="B9" s="37">
        <f t="shared" si="0"/>
        <v>692.64069999999992</v>
      </c>
      <c r="C9" s="33"/>
      <c r="D9" s="37">
        <f>IF(ISERROR(TER_gezond_gas_kWh/1000),0,TER_gezond_gas_kWh/1000)*0.902</f>
        <v>453.12178299938705</v>
      </c>
      <c r="E9" s="33">
        <f>$C$29*'E Balans VL '!I10/100/3.6*1000000</f>
        <v>4.3220419627934541E-2</v>
      </c>
      <c r="F9" s="33">
        <f>$C$29*('E Balans VL '!L10+'E Balans VL '!N10)/100/3.6*1000000</f>
        <v>89.668933490414943</v>
      </c>
      <c r="G9" s="34"/>
      <c r="H9" s="33"/>
      <c r="I9" s="33"/>
      <c r="J9" s="33">
        <f>$C$29*('E Balans VL '!D10+'E Balans VL '!E10)/100/3.6*1000000</f>
        <v>0</v>
      </c>
      <c r="K9" s="33"/>
      <c r="L9" s="33"/>
      <c r="M9" s="33"/>
      <c r="N9" s="33">
        <f>$C$29*'E Balans VL '!Y10/100/3.6*1000000</f>
        <v>5.6789768944652659</v>
      </c>
      <c r="O9" s="33"/>
      <c r="P9" s="33"/>
      <c r="R9" s="32"/>
    </row>
    <row r="10" spans="1:18">
      <c r="A10" s="32" t="s">
        <v>49</v>
      </c>
      <c r="B10" s="37">
        <f t="shared" si="0"/>
        <v>394.59350000000001</v>
      </c>
      <c r="C10" s="33"/>
      <c r="D10" s="37">
        <f>IF(ISERROR(TER_ander_gas_kWh/1000),0,TER_ander_gas_kWh/1000)*0.902</f>
        <v>435.33319434150138</v>
      </c>
      <c r="E10" s="33">
        <f>$C$30*'E Balans VL '!I14/100/3.6*1000000</f>
        <v>11.912593545524262</v>
      </c>
      <c r="F10" s="33">
        <f>$C$30*('E Balans VL '!L14+'E Balans VL '!N14)/100/3.6*1000000</f>
        <v>249.8360344915863</v>
      </c>
      <c r="G10" s="34"/>
      <c r="H10" s="33"/>
      <c r="I10" s="33"/>
      <c r="J10" s="33">
        <f>$C$30*('E Balans VL '!D14+'E Balans VL '!E14)/100/3.6*1000000</f>
        <v>0</v>
      </c>
      <c r="K10" s="33"/>
      <c r="L10" s="33"/>
      <c r="M10" s="33"/>
      <c r="N10" s="33">
        <f>$C$30*'E Balans VL '!Y14/100/3.6*1000000</f>
        <v>159.71674429752431</v>
      </c>
      <c r="O10" s="33"/>
      <c r="P10" s="33"/>
      <c r="R10" s="32"/>
    </row>
    <row r="11" spans="1:18">
      <c r="A11" s="32" t="s">
        <v>54</v>
      </c>
      <c r="B11" s="37">
        <f t="shared" si="0"/>
        <v>929.1105</v>
      </c>
      <c r="C11" s="33"/>
      <c r="D11" s="37">
        <f>IF(ISERROR(TER_onderwijs_gas_kWh/1000),0,TER_onderwijs_gas_kWh/1000)*0.902</f>
        <v>460.97164801058489</v>
      </c>
      <c r="E11" s="33">
        <f>$C$31*'E Balans VL '!I11/100/3.6*1000000</f>
        <v>1.1700980890774249</v>
      </c>
      <c r="F11" s="33">
        <f>$C$31*('E Balans VL '!L11+'E Balans VL '!N11)/100/3.6*1000000</f>
        <v>345.12229607810571</v>
      </c>
      <c r="G11" s="34"/>
      <c r="H11" s="33"/>
      <c r="I11" s="33"/>
      <c r="J11" s="33">
        <f>$C$31*('E Balans VL '!D11+'E Balans VL '!E11)/100/3.6*1000000</f>
        <v>0</v>
      </c>
      <c r="K11" s="33"/>
      <c r="L11" s="33"/>
      <c r="M11" s="33"/>
      <c r="N11" s="33">
        <f>$C$31*'E Balans VL '!Y11/100/3.6*1000000</f>
        <v>1.1765472988835726</v>
      </c>
      <c r="O11" s="33"/>
      <c r="P11" s="33"/>
      <c r="R11" s="32"/>
    </row>
    <row r="12" spans="1:18">
      <c r="A12" s="32" t="s">
        <v>249</v>
      </c>
      <c r="B12" s="37">
        <f t="shared" si="0"/>
        <v>1235.9459999999999</v>
      </c>
      <c r="C12" s="33"/>
      <c r="D12" s="37">
        <f>IF(ISERROR(TER_rest_gas_kWh/1000),0,TER_rest_gas_kWh/1000)*0.902</f>
        <v>2076.709670396262</v>
      </c>
      <c r="E12" s="33">
        <f>$C$32*'E Balans VL '!I8/100/3.6*1000000</f>
        <v>18.434994021538593</v>
      </c>
      <c r="F12" s="33">
        <f>$C$32*('E Balans VL '!L8+'E Balans VL '!N8)/100/3.6*1000000</f>
        <v>299.84869314558392</v>
      </c>
      <c r="G12" s="34"/>
      <c r="H12" s="33"/>
      <c r="I12" s="33"/>
      <c r="J12" s="33">
        <f>$C$32*('E Balans VL '!D8+'E Balans VL '!E8)/100/3.6*1000000</f>
        <v>0</v>
      </c>
      <c r="K12" s="33"/>
      <c r="L12" s="33"/>
      <c r="M12" s="33"/>
      <c r="N12" s="33">
        <f>$C$32*'E Balans VL '!Y8/100/3.6*1000000</f>
        <v>100.00773473503328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7860.6565999999993</v>
      </c>
      <c r="C16" s="21">
        <f t="shared" ca="1" si="1"/>
        <v>0</v>
      </c>
      <c r="D16" s="21">
        <f t="shared" ca="1" si="1"/>
        <v>7467.4922572998203</v>
      </c>
      <c r="E16" s="21">
        <f t="shared" si="1"/>
        <v>108.4054341526307</v>
      </c>
      <c r="F16" s="21">
        <f t="shared" ca="1" si="1"/>
        <v>1677.660840576584</v>
      </c>
      <c r="G16" s="21">
        <f t="shared" si="1"/>
        <v>0</v>
      </c>
      <c r="H16" s="21">
        <f t="shared" si="1"/>
        <v>0</v>
      </c>
      <c r="I16" s="21">
        <f t="shared" si="1"/>
        <v>0</v>
      </c>
      <c r="J16" s="21">
        <f t="shared" si="1"/>
        <v>0</v>
      </c>
      <c r="K16" s="21">
        <f t="shared" si="1"/>
        <v>0</v>
      </c>
      <c r="L16" s="21">
        <f t="shared" ca="1" si="1"/>
        <v>0</v>
      </c>
      <c r="M16" s="21">
        <f t="shared" si="1"/>
        <v>0</v>
      </c>
      <c r="N16" s="21">
        <f t="shared" ca="1" si="1"/>
        <v>303.45361547225929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0.20939238162344453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1645.9616065980479</v>
      </c>
      <c r="C20" s="23">
        <f t="shared" ref="C20:P20" ca="1" si="2">C16*C18</f>
        <v>0</v>
      </c>
      <c r="D20" s="23">
        <f t="shared" ca="1" si="2"/>
        <v>1508.4334359745637</v>
      </c>
      <c r="E20" s="23">
        <f t="shared" si="2"/>
        <v>24.608033552647171</v>
      </c>
      <c r="F20" s="23">
        <f t="shared" ca="1" si="2"/>
        <v>447.93544443394796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1385.1079999999999</v>
      </c>
      <c r="C26" s="39">
        <f>IF(ISERROR(B26*3.6/1000000/'E Balans VL '!Z12*100),0,B26*3.6/1000000/'E Balans VL '!Z12*100)</f>
        <v>3.7622128670930226E-2</v>
      </c>
      <c r="D26" s="232" t="s">
        <v>651</v>
      </c>
      <c r="F26" s="6"/>
    </row>
    <row r="27" spans="1:18">
      <c r="A27" s="227" t="s">
        <v>52</v>
      </c>
      <c r="B27" s="33">
        <f>IF(ISERROR(TER_horeca_ele_kWh/1000),0,TER_horeca_ele_kWh/1000)</f>
        <v>814.09789999999998</v>
      </c>
      <c r="C27" s="39">
        <f>IF(ISERROR(B27*3.6/1000000/'E Balans VL '!Z9*100),0,B27*3.6/1000000/'E Balans VL '!Z9*100)</f>
        <v>6.5419107008279617E-2</v>
      </c>
      <c r="D27" s="232" t="s">
        <v>651</v>
      </c>
      <c r="F27" s="6"/>
    </row>
    <row r="28" spans="1:18">
      <c r="A28" s="167" t="s">
        <v>51</v>
      </c>
      <c r="B28" s="33">
        <f>IF(ISERROR(TER_handel_ele_kWh/1000),0,TER_handel_ele_kWh/1000)</f>
        <v>2409.16</v>
      </c>
      <c r="C28" s="39">
        <f>IF(ISERROR(B28*3.6/1000000/'E Balans VL '!Z13*100),0,B28*3.6/1000000/'E Balans VL '!Z13*100)</f>
        <v>7.1154848716636562E-2</v>
      </c>
      <c r="D28" s="232" t="s">
        <v>651</v>
      </c>
      <c r="F28" s="6"/>
    </row>
    <row r="29" spans="1:18">
      <c r="A29" s="227" t="s">
        <v>50</v>
      </c>
      <c r="B29" s="33">
        <f>IF(ISERROR(TER_gezond_ele_kWh/1000),0,TER_gezond_ele_kWh/1000)</f>
        <v>692.64069999999992</v>
      </c>
      <c r="C29" s="39">
        <f>IF(ISERROR(B29*3.6/1000000/'E Balans VL '!Z10*100),0,B29*3.6/1000000/'E Balans VL '!Z10*100)</f>
        <v>7.9214541255393206E-2</v>
      </c>
      <c r="D29" s="232" t="s">
        <v>651</v>
      </c>
      <c r="F29" s="6"/>
    </row>
    <row r="30" spans="1:18">
      <c r="A30" s="227" t="s">
        <v>49</v>
      </c>
      <c r="B30" s="33">
        <f>IF(ISERROR(TER_ander_ele_kWh/1000),0,TER_ander_ele_kWh/1000)</f>
        <v>394.59350000000001</v>
      </c>
      <c r="C30" s="39">
        <f>IF(ISERROR(B30*3.6/1000000/'E Balans VL '!Z14*100),0,B30*3.6/1000000/'E Balans VL '!Z14*100)</f>
        <v>1.8440176434787407E-2</v>
      </c>
      <c r="D30" s="232" t="s">
        <v>651</v>
      </c>
      <c r="F30" s="6"/>
    </row>
    <row r="31" spans="1:18">
      <c r="A31" s="227" t="s">
        <v>54</v>
      </c>
      <c r="B31" s="33">
        <f>IF(ISERROR(TER_onderwijs_ele_kWh/1000),0,TER_onderwijs_ele_kWh/1000)</f>
        <v>929.1105</v>
      </c>
      <c r="C31" s="39">
        <f>IF(ISERROR(B31*3.6/1000000/'E Balans VL '!Z11*100),0,B31*3.6/1000000/'E Balans VL '!Z11*100)</f>
        <v>0.24534887399512961</v>
      </c>
      <c r="D31" s="232" t="s">
        <v>651</v>
      </c>
    </row>
    <row r="32" spans="1:18">
      <c r="A32" s="227" t="s">
        <v>249</v>
      </c>
      <c r="B32" s="33">
        <f>IF(ISERROR(TER_rest_ele_kWh/1000),0,TER_rest_ele_kWh/1000)</f>
        <v>1235.9459999999999</v>
      </c>
      <c r="C32" s="39">
        <f>IF(ISERROR(B32*3.6/1000000/'E Balans VL '!Z8*100),0,B32*3.6/1000000/'E Balans VL '!Z8*100)</f>
        <v>1.0559311536456254E-2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2496.5099399999999</v>
      </c>
      <c r="C5" s="17">
        <f>IF(ISERROR('Eigen informatie GS &amp; warmtenet'!B59),0,'Eigen informatie GS &amp; warmtenet'!B59)</f>
        <v>0</v>
      </c>
      <c r="D5" s="30">
        <f>SUM(D6:D15)</f>
        <v>593.13574497854859</v>
      </c>
      <c r="E5" s="17">
        <f>SUM(E6:E15)</f>
        <v>344.06797079307648</v>
      </c>
      <c r="F5" s="17">
        <f>SUM(F6:F15)</f>
        <v>1254.5140942956286</v>
      </c>
      <c r="G5" s="18"/>
      <c r="H5" s="17"/>
      <c r="I5" s="17"/>
      <c r="J5" s="17">
        <f>SUM(J6:J15)</f>
        <v>7.8225605281672141</v>
      </c>
      <c r="K5" s="17"/>
      <c r="L5" s="17"/>
      <c r="M5" s="17"/>
      <c r="N5" s="17">
        <f>SUM(N6:N15)</f>
        <v>198.61292231861609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19.763810000000003</v>
      </c>
      <c r="C8" s="33"/>
      <c r="D8" s="37">
        <f>IF( ISERROR(IND_metaal_Gas_kWH/1000),0,IND_metaal_Gas_kWH/1000)*0.902</f>
        <v>0</v>
      </c>
      <c r="E8" s="33">
        <f>C30*'E Balans VL '!I18/100/3.6*1000000</f>
        <v>0.49461899244691054</v>
      </c>
      <c r="F8" s="33">
        <f>C30*'E Balans VL '!L18/100/3.6*1000000+C30*'E Balans VL '!N18/100/3.6*1000000</f>
        <v>6.1940763642468371</v>
      </c>
      <c r="G8" s="34"/>
      <c r="H8" s="33"/>
      <c r="I8" s="33"/>
      <c r="J8" s="40">
        <f>C30*'E Balans VL '!D18/100/3.6*1000000+C30*'E Balans VL '!E18/100/3.6*1000000</f>
        <v>0</v>
      </c>
      <c r="K8" s="33"/>
      <c r="L8" s="33"/>
      <c r="M8" s="33"/>
      <c r="N8" s="33">
        <f>C30*'E Balans VL '!Y18/100/3.6*1000000</f>
        <v>0.49651819875960862</v>
      </c>
      <c r="O8" s="33"/>
      <c r="P8" s="33"/>
      <c r="R8" s="32"/>
    </row>
    <row r="9" spans="1:18">
      <c r="A9" s="6" t="s">
        <v>32</v>
      </c>
      <c r="B9" s="37">
        <f t="shared" si="0"/>
        <v>985.3374</v>
      </c>
      <c r="C9" s="33"/>
      <c r="D9" s="37">
        <f>IF( ISERROR(IND_andere_gas_kWh/1000),0,IND_andere_gas_kWh/1000)*0.902</f>
        <v>460.76618323475083</v>
      </c>
      <c r="E9" s="33">
        <f>C31*'E Balans VL '!I19/100/3.6*1000000</f>
        <v>270.92737133175996</v>
      </c>
      <c r="F9" s="33">
        <f>C31*'E Balans VL '!L19/100/3.6*1000000+C31*'E Balans VL '!N19/100/3.6*1000000</f>
        <v>776.61733221815109</v>
      </c>
      <c r="G9" s="34"/>
      <c r="H9" s="33"/>
      <c r="I9" s="33"/>
      <c r="J9" s="40">
        <f>C31*'E Balans VL '!D19/100/3.6*1000000+C31*'E Balans VL '!E19/100/3.6*1000000</f>
        <v>0</v>
      </c>
      <c r="K9" s="33"/>
      <c r="L9" s="33"/>
      <c r="M9" s="33"/>
      <c r="N9" s="33">
        <f>C31*'E Balans VL '!Y19/100/3.6*1000000</f>
        <v>79.379401859755447</v>
      </c>
      <c r="O9" s="33"/>
      <c r="P9" s="33"/>
      <c r="R9" s="32"/>
    </row>
    <row r="10" spans="1:18">
      <c r="A10" s="6" t="s">
        <v>40</v>
      </c>
      <c r="B10" s="37">
        <f t="shared" si="0"/>
        <v>79.319729999999993</v>
      </c>
      <c r="C10" s="33"/>
      <c r="D10" s="37">
        <f>IF( ISERROR(IND_voed_gas_kWh/1000),0,IND_voed_gas_kWh/1000)*0.902</f>
        <v>0</v>
      </c>
      <c r="E10" s="33">
        <f>C32*'E Balans VL '!I20/100/3.6*1000000</f>
        <v>0.80862094986140409</v>
      </c>
      <c r="F10" s="33">
        <f>C32*'E Balans VL '!L20/100/3.6*1000000+C32*'E Balans VL '!N20/100/3.6*1000000</f>
        <v>149.83447387297761</v>
      </c>
      <c r="G10" s="34"/>
      <c r="H10" s="33"/>
      <c r="I10" s="33"/>
      <c r="J10" s="40">
        <f>C32*'E Balans VL '!D20/100/3.6*1000000+C32*'E Balans VL '!E20/100/3.6*1000000</f>
        <v>1.8983806742315799</v>
      </c>
      <c r="K10" s="33"/>
      <c r="L10" s="33"/>
      <c r="M10" s="33"/>
      <c r="N10" s="33">
        <f>C32*'E Balans VL '!Y20/100/3.6*1000000</f>
        <v>41.810634222544252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1412.0889999999999</v>
      </c>
      <c r="C15" s="33"/>
      <c r="D15" s="37">
        <f>IF( ISERROR(IND_rest_gas_kWh/1000),0,IND_rest_gas_kWh/1000)*0.902</f>
        <v>132.36956174379773</v>
      </c>
      <c r="E15" s="33">
        <f>C37*'E Balans VL '!I15/100/3.6*1000000</f>
        <v>71.837359519008217</v>
      </c>
      <c r="F15" s="33">
        <f>C37*'E Balans VL '!L15/100/3.6*1000000+C37*'E Balans VL '!N15/100/3.6*1000000</f>
        <v>321.86821184025303</v>
      </c>
      <c r="G15" s="34"/>
      <c r="H15" s="33"/>
      <c r="I15" s="33"/>
      <c r="J15" s="40">
        <f>C37*'E Balans VL '!D15/100/3.6*1000000+C37*'E Balans VL '!E15/100/3.6*1000000</f>
        <v>5.9241798539356347</v>
      </c>
      <c r="K15" s="33"/>
      <c r="L15" s="33"/>
      <c r="M15" s="33"/>
      <c r="N15" s="33">
        <f>C37*'E Balans VL '!Y15/100/3.6*1000000</f>
        <v>76.926368037556799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2496.5099399999999</v>
      </c>
      <c r="C18" s="21">
        <f>C5+C16</f>
        <v>0</v>
      </c>
      <c r="D18" s="21">
        <f>MAX((D5+D16),0)</f>
        <v>593.13574497854859</v>
      </c>
      <c r="E18" s="21">
        <f>MAX((E5+E16),0)</f>
        <v>344.06797079307648</v>
      </c>
      <c r="F18" s="21">
        <f>MAX((F5+F16),0)</f>
        <v>1254.5140942956286</v>
      </c>
      <c r="G18" s="21"/>
      <c r="H18" s="21"/>
      <c r="I18" s="21"/>
      <c r="J18" s="21">
        <f>MAX((J5+J16),0)</f>
        <v>7.8225605281672141</v>
      </c>
      <c r="K18" s="21"/>
      <c r="L18" s="21">
        <f>MAX((L5+L16),0)</f>
        <v>0</v>
      </c>
      <c r="M18" s="21"/>
      <c r="N18" s="21">
        <f>MAX((N5+N16),0)</f>
        <v>198.61292231861609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0.20939238162344453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522.75016208320255</v>
      </c>
      <c r="C22" s="23">
        <f ca="1">C18*C20</f>
        <v>0</v>
      </c>
      <c r="D22" s="23">
        <f>D18*D20</f>
        <v>119.81342048566682</v>
      </c>
      <c r="E22" s="23">
        <f>E18*E20</f>
        <v>78.103429370028365</v>
      </c>
      <c r="F22" s="23">
        <f>F18*F20</f>
        <v>334.95526317693287</v>
      </c>
      <c r="G22" s="23"/>
      <c r="H22" s="23"/>
      <c r="I22" s="23"/>
      <c r="J22" s="23">
        <f>J18*J20</f>
        <v>2.7691864269711939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19.763810000000003</v>
      </c>
      <c r="C30" s="39">
        <f>IF(ISERROR(B30*3.6/1000000/'E Balans VL '!Z18*100),0,B30*3.6/1000000/'E Balans VL '!Z18*100)</f>
        <v>2.7662747637555952E-3</v>
      </c>
      <c r="D30" s="232" t="s">
        <v>651</v>
      </c>
    </row>
    <row r="31" spans="1:18">
      <c r="A31" s="6" t="s">
        <v>32</v>
      </c>
      <c r="B31" s="37">
        <f>IF( ISERROR(IND_ander_ele_kWh/1000),0,IND_ander_ele_kWh/1000)</f>
        <v>985.3374</v>
      </c>
      <c r="C31" s="39">
        <f>IF(ISERROR(B31*3.6/1000000/'E Balans VL '!Z19*100),0,B31*3.6/1000000/'E Balans VL '!Z19*100)</f>
        <v>4.3128058153563922E-2</v>
      </c>
      <c r="D31" s="232" t="s">
        <v>651</v>
      </c>
    </row>
    <row r="32" spans="1:18">
      <c r="A32" s="167" t="s">
        <v>40</v>
      </c>
      <c r="B32" s="37">
        <f>IF( ISERROR(IND_voed_ele_kWh/1000),0,IND_voed_ele_kWh/1000)</f>
        <v>79.319729999999993</v>
      </c>
      <c r="C32" s="39">
        <f>IF(ISERROR(B32*3.6/1000000/'E Balans VL '!Z20*100),0,B32*3.6/1000000/'E Balans VL '!Z20*100)</f>
        <v>1.9636931069693879E-2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1412.0889999999999</v>
      </c>
      <c r="C37" s="39">
        <f>IF(ISERROR(B37*3.6/1000000/'E Balans VL '!Z15*100),0,B37*3.6/1000000/'E Balans VL '!Z15*100)</f>
        <v>1.0470398175132782E-2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914.95303999999987</v>
      </c>
      <c r="C5" s="17">
        <f>'Eigen informatie GS &amp; warmtenet'!B60</f>
        <v>0</v>
      </c>
      <c r="D5" s="30">
        <f>IF(ISERROR(SUM(LB_lb_gas_kWh,LB_rest_gas_kWh)/1000),0,SUM(LB_lb_gas_kWh,LB_rest_gas_kWh)/1000)*0.902</f>
        <v>2289.7066143366969</v>
      </c>
      <c r="E5" s="17">
        <f>B17*'E Balans VL '!I25/3.6*1000000/100</f>
        <v>19.619831558551912</v>
      </c>
      <c r="F5" s="17">
        <f>B17*('E Balans VL '!L25/3.6*1000000+'E Balans VL '!N25/3.6*1000000)/100</f>
        <v>2967.814479766183</v>
      </c>
      <c r="G5" s="18"/>
      <c r="H5" s="17"/>
      <c r="I5" s="17"/>
      <c r="J5" s="17">
        <f>('E Balans VL '!D25+'E Balans VL '!E25)/3.6*1000000*landbouw!B17/100</f>
        <v>88.156208938751007</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914.95303999999987</v>
      </c>
      <c r="C8" s="21">
        <f>C5+C6</f>
        <v>62.357142857142847</v>
      </c>
      <c r="D8" s="21">
        <f>MAX((D5+D6),0)</f>
        <v>2289.7066143366969</v>
      </c>
      <c r="E8" s="21">
        <f>MAX((E5+E6),0)</f>
        <v>19.619831558551912</v>
      </c>
      <c r="F8" s="21">
        <f>MAX((F5+F6),0)</f>
        <v>2967.814479766183</v>
      </c>
      <c r="G8" s="21"/>
      <c r="H8" s="21"/>
      <c r="I8" s="21"/>
      <c r="J8" s="21">
        <f>MAX((J5+J6),0)</f>
        <v>88.156208938751007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0.20939238162344453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191.58419611921067</v>
      </c>
      <c r="C12" s="23">
        <f ca="1">C8*C10</f>
        <v>0</v>
      </c>
      <c r="D12" s="23">
        <f>D8*D10</f>
        <v>462.5207360960128</v>
      </c>
      <c r="E12" s="23">
        <f>E8*E10</f>
        <v>4.4537017637912841</v>
      </c>
      <c r="F12" s="23">
        <f>F8*F10</f>
        <v>792.40646609757096</v>
      </c>
      <c r="G12" s="23"/>
      <c r="H12" s="23"/>
      <c r="I12" s="23"/>
      <c r="J12" s="23">
        <f>J8*J10</f>
        <v>31.207297964317856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0.13008692193021817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193.04936646041807</v>
      </c>
      <c r="C26" s="242">
        <f>B26*'GWP N2O_CH4'!B5</f>
        <v>4054.0366956687794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25.046065630768997</v>
      </c>
      <c r="C27" s="242">
        <f>B27*'GWP N2O_CH4'!B5</f>
        <v>525.96737824614888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2.8249891212335352</v>
      </c>
      <c r="C28" s="242">
        <f>B28*'GWP N2O_CH4'!B4</f>
        <v>875.74662758239594</v>
      </c>
      <c r="D28" s="50"/>
    </row>
    <row r="29" spans="1:4">
      <c r="A29" s="41" t="s">
        <v>266</v>
      </c>
      <c r="B29" s="242">
        <f>B34*'ha_N2O bodem landbouw'!B4</f>
        <v>12.173788564416867</v>
      </c>
      <c r="C29" s="242">
        <f>B29*'GWP N2O_CH4'!B4</f>
        <v>3773.8744549692287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2.7303663055872293E-3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5.3277156699341787E-5</v>
      </c>
      <c r="C5" s="428" t="s">
        <v>204</v>
      </c>
      <c r="D5" s="413">
        <f>SUM(D6:D11)</f>
        <v>9.9518516322135429E-5</v>
      </c>
      <c r="E5" s="413">
        <f>SUM(E6:E11)</f>
        <v>9.4278788525110359E-4</v>
      </c>
      <c r="F5" s="426" t="s">
        <v>204</v>
      </c>
      <c r="G5" s="413">
        <f>SUM(G6:G11)</f>
        <v>0.25656689158579371</v>
      </c>
      <c r="H5" s="413">
        <f>SUM(H6:H11)</f>
        <v>6.010883618361746E-2</v>
      </c>
      <c r="I5" s="428" t="s">
        <v>204</v>
      </c>
      <c r="J5" s="428" t="s">
        <v>204</v>
      </c>
      <c r="K5" s="428" t="s">
        <v>204</v>
      </c>
      <c r="L5" s="428" t="s">
        <v>204</v>
      </c>
      <c r="M5" s="413">
        <f>SUM(M6:M11)</f>
        <v>1.6708509508881822E-2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2.5225344091219679E-5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3.8151485497073162E-5</v>
      </c>
      <c r="E6" s="819">
        <f>vkm_GW_PW*SUMIFS(TableVerdeelsleutelVkm[LPG],TableVerdeelsleutelVkm[Voertuigtype],"Lichte voertuigen")*SUMIFS(TableECFTransport[EnergieConsumptieFactor (PJ per km)],TableECFTransport[Index],CONCATENATE($A6,"_LPG_LPG"))</f>
        <v>3.7269382809004175E-4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8.6534415973053738E-2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2.3570336039818271E-2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5.7359818747025008E-3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7.3244912125107439E-7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2.8111553049115709E-2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6.2991012008224009E-7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1.6298468771015391E-3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2.6943369352219459E-5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6.1367030825062267E-5</v>
      </c>
      <c r="E8" s="416">
        <f>vkm_NGW_PW*SUMIFS(TableVerdeelsleutelVkm[LPG],TableVerdeelsleutelVkm[Voertuigtype],"Lichte voertuigen")*SUMIFS(TableECFTransport[EnergieConsumptieFactor (PJ per km)],TableECFTransport[Index],CONCATENATE($A8,"_LPG_LPG"))</f>
        <v>5.7009405716106185E-4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0.12338010868938788</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3.6537479933599508E-2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8.2677253474528496E-3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3.7599413465157388E-7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1.8540813874236367E-2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3.9030007959798643E-7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1.0749554096249347E-3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14.799210194261608</v>
      </c>
      <c r="C14" s="21"/>
      <c r="D14" s="21">
        <f t="shared" ref="D14:M14" si="0">((D5)*10^9/3600)+D12</f>
        <v>27.644032311704287</v>
      </c>
      <c r="E14" s="21">
        <f t="shared" si="0"/>
        <v>261.88552368086209</v>
      </c>
      <c r="F14" s="21"/>
      <c r="G14" s="21">
        <f t="shared" si="0"/>
        <v>71268.580996053803</v>
      </c>
      <c r="H14" s="21">
        <f t="shared" si="0"/>
        <v>16696.898939893737</v>
      </c>
      <c r="I14" s="21"/>
      <c r="J14" s="21"/>
      <c r="K14" s="21"/>
      <c r="L14" s="21"/>
      <c r="M14" s="21">
        <f t="shared" si="0"/>
        <v>4641.2526413560618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0.20939238162344453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3.0988418687223973</v>
      </c>
      <c r="C18" s="23"/>
      <c r="D18" s="23">
        <f t="shared" ref="D18:M18" si="1">D14*D16</f>
        <v>5.5840945269642663</v>
      </c>
      <c r="E18" s="23">
        <f t="shared" si="1"/>
        <v>59.448013875555695</v>
      </c>
      <c r="F18" s="23"/>
      <c r="G18" s="23">
        <f t="shared" si="1"/>
        <v>19028.711125946367</v>
      </c>
      <c r="H18" s="23">
        <f t="shared" si="1"/>
        <v>4157.5278360335406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3.3916042809722677E-5</v>
      </c>
      <c r="C50" s="311">
        <f t="shared" ref="C50:P50" si="2">SUM(C51:C52)</f>
        <v>0</v>
      </c>
      <c r="D50" s="311">
        <f t="shared" si="2"/>
        <v>0</v>
      </c>
      <c r="E50" s="311">
        <f t="shared" si="2"/>
        <v>0</v>
      </c>
      <c r="F50" s="311">
        <f t="shared" si="2"/>
        <v>0</v>
      </c>
      <c r="G50" s="311">
        <f t="shared" si="2"/>
        <v>6.4266427205935707E-3</v>
      </c>
      <c r="H50" s="311">
        <f t="shared" si="2"/>
        <v>0</v>
      </c>
      <c r="I50" s="311">
        <f t="shared" si="2"/>
        <v>0</v>
      </c>
      <c r="J50" s="311">
        <f t="shared" si="2"/>
        <v>0</v>
      </c>
      <c r="K50" s="311">
        <f t="shared" si="2"/>
        <v>0</v>
      </c>
      <c r="L50" s="311">
        <f t="shared" si="2"/>
        <v>0</v>
      </c>
      <c r="M50" s="311">
        <f t="shared" si="2"/>
        <v>3.6996919972503555E-4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3.3916042809722677E-5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6.4266427205935707E-3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3.6996919972503555E-4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9.4211230027007424</v>
      </c>
      <c r="C54" s="21">
        <f t="shared" ref="C54:P54" si="3">(C50)*10^9/3600</f>
        <v>0</v>
      </c>
      <c r="D54" s="21">
        <f t="shared" si="3"/>
        <v>0</v>
      </c>
      <c r="E54" s="21">
        <f t="shared" si="3"/>
        <v>0</v>
      </c>
      <c r="F54" s="21">
        <f t="shared" si="3"/>
        <v>0</v>
      </c>
      <c r="G54" s="21">
        <f t="shared" si="3"/>
        <v>1785.1785334982142</v>
      </c>
      <c r="H54" s="21">
        <f t="shared" si="3"/>
        <v>0</v>
      </c>
      <c r="I54" s="21">
        <f t="shared" si="3"/>
        <v>0</v>
      </c>
      <c r="J54" s="21">
        <f t="shared" si="3"/>
        <v>0</v>
      </c>
      <c r="K54" s="21">
        <f t="shared" si="3"/>
        <v>0</v>
      </c>
      <c r="L54" s="21">
        <f t="shared" si="3"/>
        <v>0</v>
      </c>
      <c r="M54" s="21">
        <f t="shared" si="3"/>
        <v>102.76922214584322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0.20939238162344453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1.9727113831029255</v>
      </c>
      <c r="C58" s="23">
        <f t="shared" ref="C58:P58" ca="1" si="4">C54*C56</f>
        <v>0</v>
      </c>
      <c r="D58" s="23">
        <f t="shared" si="4"/>
        <v>0</v>
      </c>
      <c r="E58" s="23">
        <f t="shared" si="4"/>
        <v>0</v>
      </c>
      <c r="F58" s="23">
        <f t="shared" si="4"/>
        <v>0</v>
      </c>
      <c r="G58" s="23">
        <f t="shared" si="4"/>
        <v>476.64266844402323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1590.8502665573517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1634.5002665573518</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23104</v>
      </c>
      <c r="C28" s="725">
        <v>1750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8465.2405999999992</v>
      </c>
      <c r="D10" s="943">
        <f ca="1">tertiair!C16</f>
        <v>0</v>
      </c>
      <c r="E10" s="943">
        <f ca="1">tertiair!D16</f>
        <v>7467.4922572998203</v>
      </c>
      <c r="F10" s="943">
        <f>tertiair!E16</f>
        <v>108.4054341526307</v>
      </c>
      <c r="G10" s="943">
        <f ca="1">tertiair!F16</f>
        <v>1677.660840576584</v>
      </c>
      <c r="H10" s="943">
        <f>tertiair!G16</f>
        <v>0</v>
      </c>
      <c r="I10" s="943">
        <f>tertiair!H16</f>
        <v>0</v>
      </c>
      <c r="J10" s="943">
        <f>tertiair!I16</f>
        <v>0</v>
      </c>
      <c r="K10" s="943">
        <f>tertiair!J16</f>
        <v>0</v>
      </c>
      <c r="L10" s="943">
        <f>tertiair!K16</f>
        <v>0</v>
      </c>
      <c r="M10" s="943">
        <f ca="1">tertiair!L16</f>
        <v>0</v>
      </c>
      <c r="N10" s="943">
        <f>tertiair!M16</f>
        <v>0</v>
      </c>
      <c r="O10" s="943">
        <f ca="1">tertiair!N16</f>
        <v>303.45361547225929</v>
      </c>
      <c r="P10" s="943">
        <f>tertiair!O16</f>
        <v>3.1266666666666669</v>
      </c>
      <c r="Q10" s="944">
        <f>tertiair!P16</f>
        <v>0</v>
      </c>
      <c r="R10" s="629">
        <f ca="1">SUM(C10:Q10)</f>
        <v>18025.379414167961</v>
      </c>
      <c r="S10" s="67"/>
    </row>
    <row r="11" spans="1:19" s="438" customFormat="1">
      <c r="A11" s="737" t="s">
        <v>214</v>
      </c>
      <c r="B11" s="742"/>
      <c r="C11" s="943">
        <f>huishoudens!B8</f>
        <v>18530.071759270424</v>
      </c>
      <c r="D11" s="943">
        <f>huishoudens!C8</f>
        <v>0</v>
      </c>
      <c r="E11" s="943">
        <f>huishoudens!D8</f>
        <v>21201.226231147451</v>
      </c>
      <c r="F11" s="943">
        <f>huishoudens!E8</f>
        <v>1118.8005807189606</v>
      </c>
      <c r="G11" s="943">
        <f>huishoudens!F8</f>
        <v>35294.667881718153</v>
      </c>
      <c r="H11" s="943">
        <f>huishoudens!G8</f>
        <v>0</v>
      </c>
      <c r="I11" s="943">
        <f>huishoudens!H8</f>
        <v>0</v>
      </c>
      <c r="J11" s="943">
        <f>huishoudens!I8</f>
        <v>0</v>
      </c>
      <c r="K11" s="943">
        <f>huishoudens!J8</f>
        <v>823.07032169573188</v>
      </c>
      <c r="L11" s="943">
        <f>huishoudens!K8</f>
        <v>0</v>
      </c>
      <c r="M11" s="943">
        <f>huishoudens!L8</f>
        <v>0</v>
      </c>
      <c r="N11" s="943">
        <f>huishoudens!M8</f>
        <v>0</v>
      </c>
      <c r="O11" s="943">
        <f>huishoudens!N8</f>
        <v>4362.1263937728982</v>
      </c>
      <c r="P11" s="943">
        <f>huishoudens!O8</f>
        <v>93.8</v>
      </c>
      <c r="Q11" s="944">
        <f>huishoudens!P8</f>
        <v>362.26666666666665</v>
      </c>
      <c r="R11" s="629">
        <f>SUM(C11:Q11)</f>
        <v>81786.029834990288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2496.5099399999999</v>
      </c>
      <c r="D13" s="943">
        <f>industrie!C18</f>
        <v>0</v>
      </c>
      <c r="E13" s="943">
        <f>industrie!D18</f>
        <v>593.13574497854859</v>
      </c>
      <c r="F13" s="943">
        <f>industrie!E18</f>
        <v>344.06797079307648</v>
      </c>
      <c r="G13" s="943">
        <f>industrie!F18</f>
        <v>1254.5140942956286</v>
      </c>
      <c r="H13" s="943">
        <f>industrie!G18</f>
        <v>0</v>
      </c>
      <c r="I13" s="943">
        <f>industrie!H18</f>
        <v>0</v>
      </c>
      <c r="J13" s="943">
        <f>industrie!I18</f>
        <v>0</v>
      </c>
      <c r="K13" s="943">
        <f>industrie!J18</f>
        <v>7.8225605281672141</v>
      </c>
      <c r="L13" s="943">
        <f>industrie!K18</f>
        <v>0</v>
      </c>
      <c r="M13" s="943">
        <f>industrie!L18</f>
        <v>0</v>
      </c>
      <c r="N13" s="943">
        <f>industrie!M18</f>
        <v>0</v>
      </c>
      <c r="O13" s="943">
        <f>industrie!N18</f>
        <v>198.61292231861609</v>
      </c>
      <c r="P13" s="943">
        <f>industrie!O18</f>
        <v>0</v>
      </c>
      <c r="Q13" s="944">
        <f>industrie!P18</f>
        <v>0</v>
      </c>
      <c r="R13" s="629">
        <f>SUM(C13:Q13)</f>
        <v>4894.6632329140366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29491.822299270421</v>
      </c>
      <c r="D16" s="661">
        <f t="shared" ref="D16:R16" ca="1" si="0">SUM(D9:D15)</f>
        <v>0</v>
      </c>
      <c r="E16" s="661">
        <f t="shared" ca="1" si="0"/>
        <v>29261.854233425824</v>
      </c>
      <c r="F16" s="661">
        <f t="shared" si="0"/>
        <v>1571.2739856646679</v>
      </c>
      <c r="G16" s="661">
        <f t="shared" ca="1" si="0"/>
        <v>38226.842816590368</v>
      </c>
      <c r="H16" s="661">
        <f t="shared" si="0"/>
        <v>0</v>
      </c>
      <c r="I16" s="661">
        <f t="shared" si="0"/>
        <v>0</v>
      </c>
      <c r="J16" s="661">
        <f t="shared" si="0"/>
        <v>0</v>
      </c>
      <c r="K16" s="661">
        <f t="shared" si="0"/>
        <v>830.89288222389905</v>
      </c>
      <c r="L16" s="661">
        <f t="shared" si="0"/>
        <v>0</v>
      </c>
      <c r="M16" s="661">
        <f t="shared" ca="1" si="0"/>
        <v>0</v>
      </c>
      <c r="N16" s="661">
        <f t="shared" si="0"/>
        <v>0</v>
      </c>
      <c r="O16" s="661">
        <f t="shared" ca="1" si="0"/>
        <v>4864.1929315637735</v>
      </c>
      <c r="P16" s="661">
        <f t="shared" si="0"/>
        <v>96.926666666666662</v>
      </c>
      <c r="Q16" s="661">
        <f t="shared" si="0"/>
        <v>362.26666666666665</v>
      </c>
      <c r="R16" s="661">
        <f t="shared" ca="1" si="0"/>
        <v>104706.0724820723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9.4211230027007424</v>
      </c>
      <c r="D19" s="943">
        <f>transport!C54</f>
        <v>0</v>
      </c>
      <c r="E19" s="943">
        <f>transport!D54</f>
        <v>0</v>
      </c>
      <c r="F19" s="943">
        <f>transport!E54</f>
        <v>0</v>
      </c>
      <c r="G19" s="943">
        <f>transport!F54</f>
        <v>0</v>
      </c>
      <c r="H19" s="943">
        <f>transport!G54</f>
        <v>1785.1785334982142</v>
      </c>
      <c r="I19" s="943">
        <f>transport!H54</f>
        <v>0</v>
      </c>
      <c r="J19" s="943">
        <f>transport!I54</f>
        <v>0</v>
      </c>
      <c r="K19" s="943">
        <f>transport!J54</f>
        <v>0</v>
      </c>
      <c r="L19" s="943">
        <f>transport!K54</f>
        <v>0</v>
      </c>
      <c r="M19" s="943">
        <f>transport!L54</f>
        <v>0</v>
      </c>
      <c r="N19" s="943">
        <f>transport!M54</f>
        <v>102.76922214584322</v>
      </c>
      <c r="O19" s="943">
        <f>transport!N54</f>
        <v>0</v>
      </c>
      <c r="P19" s="943">
        <f>transport!O54</f>
        <v>0</v>
      </c>
      <c r="Q19" s="944">
        <f>transport!P54</f>
        <v>0</v>
      </c>
      <c r="R19" s="629">
        <f>SUM(C19:Q19)</f>
        <v>1897.3688786467583</v>
      </c>
      <c r="S19" s="67"/>
    </row>
    <row r="20" spans="1:19" s="438" customFormat="1">
      <c r="A20" s="737" t="s">
        <v>296</v>
      </c>
      <c r="B20" s="742"/>
      <c r="C20" s="943">
        <f>transport!B14</f>
        <v>14.799210194261608</v>
      </c>
      <c r="D20" s="943">
        <f>transport!C14</f>
        <v>0</v>
      </c>
      <c r="E20" s="943">
        <f>transport!D14</f>
        <v>27.644032311704287</v>
      </c>
      <c r="F20" s="943">
        <f>transport!E14</f>
        <v>261.88552368086209</v>
      </c>
      <c r="G20" s="943">
        <f>transport!F14</f>
        <v>0</v>
      </c>
      <c r="H20" s="943">
        <f>transport!G14</f>
        <v>71268.580996053803</v>
      </c>
      <c r="I20" s="943">
        <f>transport!H14</f>
        <v>16696.898939893737</v>
      </c>
      <c r="J20" s="943">
        <f>transport!I14</f>
        <v>0</v>
      </c>
      <c r="K20" s="943">
        <f>transport!J14</f>
        <v>0</v>
      </c>
      <c r="L20" s="943">
        <f>transport!K14</f>
        <v>0</v>
      </c>
      <c r="M20" s="943">
        <f>transport!L14</f>
        <v>0</v>
      </c>
      <c r="N20" s="943">
        <f>transport!M14</f>
        <v>4641.2526413560618</v>
      </c>
      <c r="O20" s="943">
        <f>transport!N14</f>
        <v>0</v>
      </c>
      <c r="P20" s="943">
        <f>transport!O14</f>
        <v>0</v>
      </c>
      <c r="Q20" s="944">
        <f>transport!P14</f>
        <v>0</v>
      </c>
      <c r="R20" s="629">
        <f>SUM(C20:Q20)</f>
        <v>92911.061343490423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24.220333196962351</v>
      </c>
      <c r="D22" s="740">
        <f t="shared" ref="D22:R22" si="1">SUM(D18:D21)</f>
        <v>0</v>
      </c>
      <c r="E22" s="740">
        <f t="shared" si="1"/>
        <v>27.644032311704287</v>
      </c>
      <c r="F22" s="740">
        <f t="shared" si="1"/>
        <v>261.88552368086209</v>
      </c>
      <c r="G22" s="740">
        <f t="shared" si="1"/>
        <v>0</v>
      </c>
      <c r="H22" s="740">
        <f t="shared" si="1"/>
        <v>73053.759529552015</v>
      </c>
      <c r="I22" s="740">
        <f t="shared" si="1"/>
        <v>16696.898939893737</v>
      </c>
      <c r="J22" s="740">
        <f t="shared" si="1"/>
        <v>0</v>
      </c>
      <c r="K22" s="740">
        <f t="shared" si="1"/>
        <v>0</v>
      </c>
      <c r="L22" s="740">
        <f t="shared" si="1"/>
        <v>0</v>
      </c>
      <c r="M22" s="740">
        <f t="shared" si="1"/>
        <v>0</v>
      </c>
      <c r="N22" s="740">
        <f t="shared" si="1"/>
        <v>4744.0218635019046</v>
      </c>
      <c r="O22" s="740">
        <f t="shared" si="1"/>
        <v>0</v>
      </c>
      <c r="P22" s="740">
        <f t="shared" si="1"/>
        <v>0</v>
      </c>
      <c r="Q22" s="740">
        <f t="shared" si="1"/>
        <v>0</v>
      </c>
      <c r="R22" s="740">
        <f t="shared" si="1"/>
        <v>94808.430222137176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914.95303999999987</v>
      </c>
      <c r="D24" s="943">
        <f>+landbouw!C8</f>
        <v>62.357142857142847</v>
      </c>
      <c r="E24" s="943">
        <f>+landbouw!D8</f>
        <v>2289.7066143366969</v>
      </c>
      <c r="F24" s="943">
        <f>+landbouw!E8</f>
        <v>19.619831558551912</v>
      </c>
      <c r="G24" s="943">
        <f>+landbouw!F8</f>
        <v>2967.814479766183</v>
      </c>
      <c r="H24" s="943">
        <f>+landbouw!G8</f>
        <v>0</v>
      </c>
      <c r="I24" s="943">
        <f>+landbouw!H8</f>
        <v>0</v>
      </c>
      <c r="J24" s="943">
        <f>+landbouw!I8</f>
        <v>0</v>
      </c>
      <c r="K24" s="943">
        <f>+landbouw!J8</f>
        <v>88.156208938751007</v>
      </c>
      <c r="L24" s="943">
        <f>+landbouw!K8</f>
        <v>0</v>
      </c>
      <c r="M24" s="943">
        <f>+landbouw!L8</f>
        <v>0</v>
      </c>
      <c r="N24" s="943">
        <f>+landbouw!M8</f>
        <v>0</v>
      </c>
      <c r="O24" s="943">
        <f>+landbouw!N8</f>
        <v>0</v>
      </c>
      <c r="P24" s="943">
        <f>+landbouw!O8</f>
        <v>0</v>
      </c>
      <c r="Q24" s="944">
        <f>+landbouw!P8</f>
        <v>0</v>
      </c>
      <c r="R24" s="629">
        <f>SUM(C24:Q24)</f>
        <v>6342.6073174573257</v>
      </c>
      <c r="S24" s="67"/>
    </row>
    <row r="25" spans="1:19" s="438" customFormat="1" ht="15" thickBot="1">
      <c r="A25" s="759" t="s">
        <v>802</v>
      </c>
      <c r="B25" s="946"/>
      <c r="C25" s="947">
        <f>IF(Onbekend_ele_kWh="---",0,Onbekend_ele_kWh)/1000+IF(REST_rest_ele_kWh="---",0,REST_rest_ele_kWh)/1000</f>
        <v>688.61450000000002</v>
      </c>
      <c r="D25" s="947"/>
      <c r="E25" s="947">
        <f>IF(onbekend_gas_kWh="---",0,onbekend_gas_kWh)/1000+IF(REST_rest_gas_kWh="---",0,REST_rest_gas_kWh)/1000</f>
        <v>1045.2567435480601</v>
      </c>
      <c r="F25" s="947"/>
      <c r="G25" s="947"/>
      <c r="H25" s="947"/>
      <c r="I25" s="947"/>
      <c r="J25" s="947"/>
      <c r="K25" s="947"/>
      <c r="L25" s="947"/>
      <c r="M25" s="947"/>
      <c r="N25" s="947"/>
      <c r="O25" s="947"/>
      <c r="P25" s="947"/>
      <c r="Q25" s="948"/>
      <c r="R25" s="629">
        <f>SUM(C25:Q25)</f>
        <v>1733.8712435480602</v>
      </c>
      <c r="S25" s="67"/>
    </row>
    <row r="26" spans="1:19" s="438" customFormat="1" ht="15.75" thickBot="1">
      <c r="A26" s="634" t="s">
        <v>803</v>
      </c>
      <c r="B26" s="745"/>
      <c r="C26" s="740">
        <f>SUM(C24:C25)</f>
        <v>1603.56754</v>
      </c>
      <c r="D26" s="740">
        <f t="shared" ref="D26:R26" si="2">SUM(D24:D25)</f>
        <v>62.357142857142847</v>
      </c>
      <c r="E26" s="740">
        <f t="shared" si="2"/>
        <v>3334.963357884757</v>
      </c>
      <c r="F26" s="740">
        <f t="shared" si="2"/>
        <v>19.619831558551912</v>
      </c>
      <c r="G26" s="740">
        <f t="shared" si="2"/>
        <v>2967.814479766183</v>
      </c>
      <c r="H26" s="740">
        <f t="shared" si="2"/>
        <v>0</v>
      </c>
      <c r="I26" s="740">
        <f t="shared" si="2"/>
        <v>0</v>
      </c>
      <c r="J26" s="740">
        <f t="shared" si="2"/>
        <v>0</v>
      </c>
      <c r="K26" s="740">
        <f t="shared" si="2"/>
        <v>88.156208938751007</v>
      </c>
      <c r="L26" s="740">
        <f t="shared" si="2"/>
        <v>0</v>
      </c>
      <c r="M26" s="740">
        <f t="shared" si="2"/>
        <v>0</v>
      </c>
      <c r="N26" s="740">
        <f t="shared" si="2"/>
        <v>0</v>
      </c>
      <c r="O26" s="740">
        <f t="shared" si="2"/>
        <v>0</v>
      </c>
      <c r="P26" s="740">
        <f t="shared" si="2"/>
        <v>0</v>
      </c>
      <c r="Q26" s="740">
        <f t="shared" si="2"/>
        <v>0</v>
      </c>
      <c r="R26" s="740">
        <f t="shared" si="2"/>
        <v>8076.4785610053859</v>
      </c>
      <c r="S26" s="67"/>
    </row>
    <row r="27" spans="1:19" s="438" customFormat="1" ht="17.25" thickTop="1" thickBot="1">
      <c r="A27" s="635" t="s">
        <v>109</v>
      </c>
      <c r="B27" s="733"/>
      <c r="C27" s="636">
        <f ca="1">C22+C16+C26</f>
        <v>31119.610172467383</v>
      </c>
      <c r="D27" s="636">
        <f t="shared" ref="D27:R27" ca="1" si="3">D22+D16+D26</f>
        <v>62.357142857142847</v>
      </c>
      <c r="E27" s="636">
        <f t="shared" ca="1" si="3"/>
        <v>32624.461623622286</v>
      </c>
      <c r="F27" s="636">
        <f t="shared" si="3"/>
        <v>1852.7793409040817</v>
      </c>
      <c r="G27" s="636">
        <f t="shared" ca="1" si="3"/>
        <v>41194.657296356549</v>
      </c>
      <c r="H27" s="636">
        <f t="shared" si="3"/>
        <v>73053.759529552015</v>
      </c>
      <c r="I27" s="636">
        <f t="shared" si="3"/>
        <v>16696.898939893737</v>
      </c>
      <c r="J27" s="636">
        <f t="shared" si="3"/>
        <v>0</v>
      </c>
      <c r="K27" s="636">
        <f t="shared" si="3"/>
        <v>919.04909116265003</v>
      </c>
      <c r="L27" s="636">
        <f t="shared" si="3"/>
        <v>0</v>
      </c>
      <c r="M27" s="636">
        <f t="shared" ca="1" si="3"/>
        <v>0</v>
      </c>
      <c r="N27" s="636">
        <f t="shared" si="3"/>
        <v>4744.0218635019046</v>
      </c>
      <c r="O27" s="636">
        <f t="shared" ca="1" si="3"/>
        <v>4864.1929315637735</v>
      </c>
      <c r="P27" s="636">
        <f t="shared" si="3"/>
        <v>96.926666666666662</v>
      </c>
      <c r="Q27" s="636">
        <f t="shared" si="3"/>
        <v>362.26666666666665</v>
      </c>
      <c r="R27" s="636">
        <f t="shared" ca="1" si="3"/>
        <v>207590.98126521485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1772.5568902494765</v>
      </c>
      <c r="D40" s="943">
        <f ca="1">tertiair!C20</f>
        <v>0</v>
      </c>
      <c r="E40" s="943">
        <f ca="1">tertiair!D20</f>
        <v>1508.4334359745637</v>
      </c>
      <c r="F40" s="943">
        <f>tertiair!E20</f>
        <v>24.608033552647171</v>
      </c>
      <c r="G40" s="943">
        <f ca="1">tertiair!F20</f>
        <v>447.93544443394796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3753.5338042106355</v>
      </c>
    </row>
    <row r="41" spans="1:18">
      <c r="A41" s="750" t="s">
        <v>214</v>
      </c>
      <c r="B41" s="757"/>
      <c r="C41" s="943">
        <f ca="1">huishoudens!B12</f>
        <v>3880.055857326965</v>
      </c>
      <c r="D41" s="943">
        <f ca="1">huishoudens!C12</f>
        <v>0</v>
      </c>
      <c r="E41" s="943">
        <f>huishoudens!D12</f>
        <v>4282.6476986917851</v>
      </c>
      <c r="F41" s="943">
        <f>huishoudens!E12</f>
        <v>253.96773182320408</v>
      </c>
      <c r="G41" s="943">
        <f>huishoudens!F12</f>
        <v>9423.6763244187478</v>
      </c>
      <c r="H41" s="943">
        <f>huishoudens!G12</f>
        <v>0</v>
      </c>
      <c r="I41" s="943">
        <f>huishoudens!H12</f>
        <v>0</v>
      </c>
      <c r="J41" s="943">
        <f>huishoudens!I12</f>
        <v>0</v>
      </c>
      <c r="K41" s="943">
        <f>huishoudens!J12</f>
        <v>291.36689388028907</v>
      </c>
      <c r="L41" s="943">
        <f>huishoudens!K12</f>
        <v>0</v>
      </c>
      <c r="M41" s="943">
        <f>huishoudens!L12</f>
        <v>0</v>
      </c>
      <c r="N41" s="943">
        <f>huishoudens!M12</f>
        <v>0</v>
      </c>
      <c r="O41" s="943">
        <f>huishoudens!N12</f>
        <v>0</v>
      </c>
      <c r="P41" s="943">
        <f>huishoudens!O12</f>
        <v>0</v>
      </c>
      <c r="Q41" s="703">
        <f>huishoudens!P12</f>
        <v>0</v>
      </c>
      <c r="R41" s="778">
        <f t="shared" ca="1" si="4"/>
        <v>18131.71450614099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522.75016208320255</v>
      </c>
      <c r="D43" s="943">
        <f ca="1">industrie!C22</f>
        <v>0</v>
      </c>
      <c r="E43" s="943">
        <f>industrie!D22</f>
        <v>119.81342048566682</v>
      </c>
      <c r="F43" s="943">
        <f>industrie!E22</f>
        <v>78.103429370028365</v>
      </c>
      <c r="G43" s="943">
        <f>industrie!F22</f>
        <v>334.95526317693287</v>
      </c>
      <c r="H43" s="943">
        <f>industrie!G22</f>
        <v>0</v>
      </c>
      <c r="I43" s="943">
        <f>industrie!H22</f>
        <v>0</v>
      </c>
      <c r="J43" s="943">
        <f>industrie!I22</f>
        <v>0</v>
      </c>
      <c r="K43" s="943">
        <f>industrie!J22</f>
        <v>2.7691864269711939</v>
      </c>
      <c r="L43" s="943">
        <f>industrie!K22</f>
        <v>0</v>
      </c>
      <c r="M43" s="943">
        <f>industrie!L22</f>
        <v>0</v>
      </c>
      <c r="N43" s="943">
        <f>industrie!M22</f>
        <v>0</v>
      </c>
      <c r="O43" s="943">
        <f>industrie!N22</f>
        <v>0</v>
      </c>
      <c r="P43" s="943">
        <f>industrie!O22</f>
        <v>0</v>
      </c>
      <c r="Q43" s="703">
        <f>industrie!P22</f>
        <v>0</v>
      </c>
      <c r="R43" s="777">
        <f t="shared" ca="1" si="4"/>
        <v>1058.3914615428018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6175.3629096596442</v>
      </c>
      <c r="D46" s="661">
        <f t="shared" ref="D46:Q46" ca="1" si="5">SUM(D39:D45)</f>
        <v>0</v>
      </c>
      <c r="E46" s="661">
        <f t="shared" ca="1" si="5"/>
        <v>5910.8945551520155</v>
      </c>
      <c r="F46" s="661">
        <f t="shared" si="5"/>
        <v>356.67919474587961</v>
      </c>
      <c r="G46" s="661">
        <f t="shared" ca="1" si="5"/>
        <v>10206.567032029629</v>
      </c>
      <c r="H46" s="661">
        <f t="shared" si="5"/>
        <v>0</v>
      </c>
      <c r="I46" s="661">
        <f t="shared" si="5"/>
        <v>0</v>
      </c>
      <c r="J46" s="661">
        <f t="shared" si="5"/>
        <v>0</v>
      </c>
      <c r="K46" s="661">
        <f t="shared" si="5"/>
        <v>294.13608030726027</v>
      </c>
      <c r="L46" s="661">
        <f t="shared" si="5"/>
        <v>0</v>
      </c>
      <c r="M46" s="661">
        <f t="shared" ca="1" si="5"/>
        <v>0</v>
      </c>
      <c r="N46" s="661">
        <f t="shared" si="5"/>
        <v>0</v>
      </c>
      <c r="O46" s="661">
        <f t="shared" ca="1" si="5"/>
        <v>0</v>
      </c>
      <c r="P46" s="661">
        <f t="shared" si="5"/>
        <v>0</v>
      </c>
      <c r="Q46" s="661">
        <f t="shared" si="5"/>
        <v>0</v>
      </c>
      <c r="R46" s="661">
        <f ca="1">SUM(R39:R45)</f>
        <v>22943.639771894424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1.9727113831029255</v>
      </c>
      <c r="D49" s="943">
        <f ca="1">transport!C58</f>
        <v>0</v>
      </c>
      <c r="E49" s="943">
        <f>transport!D58</f>
        <v>0</v>
      </c>
      <c r="F49" s="943">
        <f>transport!E58</f>
        <v>0</v>
      </c>
      <c r="G49" s="943">
        <f>transport!F58</f>
        <v>0</v>
      </c>
      <c r="H49" s="943">
        <f>transport!G58</f>
        <v>476.64266844402323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478.61537982712616</v>
      </c>
    </row>
    <row r="50" spans="1:18">
      <c r="A50" s="753" t="s">
        <v>296</v>
      </c>
      <c r="B50" s="763"/>
      <c r="C50" s="632">
        <f ca="1">transport!B18</f>
        <v>3.0988418687223973</v>
      </c>
      <c r="D50" s="632">
        <f>transport!C18</f>
        <v>0</v>
      </c>
      <c r="E50" s="632">
        <f>transport!D18</f>
        <v>5.5840945269642663</v>
      </c>
      <c r="F50" s="632">
        <f>transport!E18</f>
        <v>59.448013875555695</v>
      </c>
      <c r="G50" s="632">
        <f>transport!F18</f>
        <v>0</v>
      </c>
      <c r="H50" s="632">
        <f>transport!G18</f>
        <v>19028.711125946367</v>
      </c>
      <c r="I50" s="632">
        <f>transport!H18</f>
        <v>4157.5278360335406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23254.36991225115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5.071553251825323</v>
      </c>
      <c r="D52" s="661">
        <f t="shared" ref="D52:Q52" ca="1" si="6">SUM(D48:D51)</f>
        <v>0</v>
      </c>
      <c r="E52" s="661">
        <f t="shared" si="6"/>
        <v>5.5840945269642663</v>
      </c>
      <c r="F52" s="661">
        <f t="shared" si="6"/>
        <v>59.448013875555695</v>
      </c>
      <c r="G52" s="661">
        <f t="shared" si="6"/>
        <v>0</v>
      </c>
      <c r="H52" s="661">
        <f t="shared" si="6"/>
        <v>19505.35379439039</v>
      </c>
      <c r="I52" s="661">
        <f t="shared" si="6"/>
        <v>4157.5278360335406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23732.985292078276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191.58419611921067</v>
      </c>
      <c r="D54" s="632">
        <f ca="1">+landbouw!C12</f>
        <v>0</v>
      </c>
      <c r="E54" s="632">
        <f>+landbouw!D12</f>
        <v>462.5207360960128</v>
      </c>
      <c r="F54" s="632">
        <f>+landbouw!E12</f>
        <v>4.4537017637912841</v>
      </c>
      <c r="G54" s="632">
        <f>+landbouw!F12</f>
        <v>792.40646609757096</v>
      </c>
      <c r="H54" s="632">
        <f>+landbouw!G12</f>
        <v>0</v>
      </c>
      <c r="I54" s="632">
        <f>+landbouw!H12</f>
        <v>0</v>
      </c>
      <c r="J54" s="632">
        <f>+landbouw!I12</f>
        <v>0</v>
      </c>
      <c r="K54" s="632">
        <f>+landbouw!J12</f>
        <v>31.207297964317856</v>
      </c>
      <c r="L54" s="632">
        <f>+landbouw!K12</f>
        <v>0</v>
      </c>
      <c r="M54" s="632">
        <f>+landbouw!L12</f>
        <v>0</v>
      </c>
      <c r="N54" s="632">
        <f>+landbouw!M12</f>
        <v>0</v>
      </c>
      <c r="O54" s="632">
        <f>+landbouw!N12</f>
        <v>0</v>
      </c>
      <c r="P54" s="632">
        <f>+landbouw!O12</f>
        <v>0</v>
      </c>
      <c r="Q54" s="633">
        <f>+landbouw!P12</f>
        <v>0</v>
      </c>
      <c r="R54" s="660">
        <f ca="1">SUM(C54:Q54)</f>
        <v>1482.1723980409035</v>
      </c>
    </row>
    <row r="55" spans="1:18" ht="15" thickBot="1">
      <c r="A55" s="753" t="s">
        <v>802</v>
      </c>
      <c r="B55" s="763"/>
      <c r="C55" s="632">
        <f ca="1">C25*'EF ele_warmte'!B12</f>
        <v>144.19063017543746</v>
      </c>
      <c r="D55" s="632"/>
      <c r="E55" s="632">
        <f>E25*EF_CO2_aardgas</f>
        <v>211.14186219670813</v>
      </c>
      <c r="F55" s="632"/>
      <c r="G55" s="632"/>
      <c r="H55" s="632"/>
      <c r="I55" s="632"/>
      <c r="J55" s="632"/>
      <c r="K55" s="632"/>
      <c r="L55" s="632"/>
      <c r="M55" s="632"/>
      <c r="N55" s="632"/>
      <c r="O55" s="632"/>
      <c r="P55" s="632"/>
      <c r="Q55" s="633"/>
      <c r="R55" s="660">
        <f ca="1">SUM(C55:Q55)</f>
        <v>355.33249237214557</v>
      </c>
    </row>
    <row r="56" spans="1:18" ht="15.75" thickBot="1">
      <c r="A56" s="751" t="s">
        <v>803</v>
      </c>
      <c r="B56" s="764"/>
      <c r="C56" s="661">
        <f ca="1">SUM(C54:C55)</f>
        <v>335.77482629464816</v>
      </c>
      <c r="D56" s="661">
        <f t="shared" ref="D56:Q56" ca="1" si="7">SUM(D54:D55)</f>
        <v>0</v>
      </c>
      <c r="E56" s="661">
        <f t="shared" si="7"/>
        <v>673.66259829272099</v>
      </c>
      <c r="F56" s="661">
        <f t="shared" si="7"/>
        <v>4.4537017637912841</v>
      </c>
      <c r="G56" s="661">
        <f t="shared" si="7"/>
        <v>792.40646609757096</v>
      </c>
      <c r="H56" s="661">
        <f t="shared" si="7"/>
        <v>0</v>
      </c>
      <c r="I56" s="661">
        <f t="shared" si="7"/>
        <v>0</v>
      </c>
      <c r="J56" s="661">
        <f t="shared" si="7"/>
        <v>0</v>
      </c>
      <c r="K56" s="661">
        <f t="shared" si="7"/>
        <v>31.207297964317856</v>
      </c>
      <c r="L56" s="661">
        <f t="shared" si="7"/>
        <v>0</v>
      </c>
      <c r="M56" s="661">
        <f t="shared" si="7"/>
        <v>0</v>
      </c>
      <c r="N56" s="661">
        <f t="shared" si="7"/>
        <v>0</v>
      </c>
      <c r="O56" s="661">
        <f t="shared" si="7"/>
        <v>0</v>
      </c>
      <c r="P56" s="661">
        <f t="shared" si="7"/>
        <v>0</v>
      </c>
      <c r="Q56" s="662">
        <f t="shared" si="7"/>
        <v>0</v>
      </c>
      <c r="R56" s="663">
        <f ca="1">SUM(R54:R55)</f>
        <v>1837.504890413049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6516.2092892061173</v>
      </c>
      <c r="D61" s="669">
        <f t="shared" ref="D61:Q61" ca="1" si="8">D46+D52+D56</f>
        <v>0</v>
      </c>
      <c r="E61" s="669">
        <f t="shared" ca="1" si="8"/>
        <v>6590.141247971701</v>
      </c>
      <c r="F61" s="669">
        <f t="shared" si="8"/>
        <v>420.58091038522662</v>
      </c>
      <c r="G61" s="669">
        <f t="shared" ca="1" si="8"/>
        <v>10998.973498127199</v>
      </c>
      <c r="H61" s="669">
        <f t="shared" si="8"/>
        <v>19505.35379439039</v>
      </c>
      <c r="I61" s="669">
        <f t="shared" si="8"/>
        <v>4157.5278360335406</v>
      </c>
      <c r="J61" s="669">
        <f t="shared" si="8"/>
        <v>0</v>
      </c>
      <c r="K61" s="669">
        <f t="shared" si="8"/>
        <v>325.3433782715781</v>
      </c>
      <c r="L61" s="669">
        <f t="shared" si="8"/>
        <v>0</v>
      </c>
      <c r="M61" s="669">
        <f t="shared" ca="1" si="8"/>
        <v>0</v>
      </c>
      <c r="N61" s="669">
        <f t="shared" si="8"/>
        <v>0</v>
      </c>
      <c r="O61" s="669">
        <f t="shared" ca="1" si="8"/>
        <v>0</v>
      </c>
      <c r="P61" s="669">
        <f t="shared" si="8"/>
        <v>0</v>
      </c>
      <c r="Q61" s="669">
        <f t="shared" si="8"/>
        <v>0</v>
      </c>
      <c r="R61" s="669">
        <f ca="1">R46+R52+R56</f>
        <v>48514.129954385746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0.20939238162344456</v>
      </c>
      <c r="D63" s="710">
        <f t="shared" ca="1" si="9"/>
        <v>0</v>
      </c>
      <c r="E63" s="954">
        <f t="shared" ca="1" si="9"/>
        <v>0.20199999999999999</v>
      </c>
      <c r="F63" s="710">
        <f t="shared" si="9"/>
        <v>0.22700000000000004</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1590.8502665573517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1634.5002665573518</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18530.071759270424</v>
      </c>
      <c r="C4" s="442">
        <f>huishoudens!C8</f>
        <v>0</v>
      </c>
      <c r="D4" s="442">
        <f>huishoudens!D8</f>
        <v>21201.226231147451</v>
      </c>
      <c r="E4" s="442">
        <f>huishoudens!E8</f>
        <v>1118.8005807189606</v>
      </c>
      <c r="F4" s="442">
        <f>huishoudens!F8</f>
        <v>35294.667881718153</v>
      </c>
      <c r="G4" s="442">
        <f>huishoudens!G8</f>
        <v>0</v>
      </c>
      <c r="H4" s="442">
        <f>huishoudens!H8</f>
        <v>0</v>
      </c>
      <c r="I4" s="442">
        <f>huishoudens!I8</f>
        <v>0</v>
      </c>
      <c r="J4" s="442">
        <f>huishoudens!J8</f>
        <v>823.07032169573188</v>
      </c>
      <c r="K4" s="442">
        <f>huishoudens!K8</f>
        <v>0</v>
      </c>
      <c r="L4" s="442">
        <f>huishoudens!L8</f>
        <v>0</v>
      </c>
      <c r="M4" s="442">
        <f>huishoudens!M8</f>
        <v>0</v>
      </c>
      <c r="N4" s="442">
        <f>huishoudens!N8</f>
        <v>4362.1263937728982</v>
      </c>
      <c r="O4" s="442">
        <f>huishoudens!O8</f>
        <v>93.8</v>
      </c>
      <c r="P4" s="443">
        <f>huishoudens!P8</f>
        <v>362.26666666666665</v>
      </c>
      <c r="Q4" s="444">
        <f>SUM(B4:P4)</f>
        <v>81786.029834990288</v>
      </c>
    </row>
    <row r="5" spans="1:17">
      <c r="A5" s="441" t="s">
        <v>149</v>
      </c>
      <c r="B5" s="442">
        <f ca="1">tertiair!B16</f>
        <v>7860.6565999999993</v>
      </c>
      <c r="C5" s="442">
        <f ca="1">tertiair!C16</f>
        <v>0</v>
      </c>
      <c r="D5" s="442">
        <f ca="1">tertiair!D16</f>
        <v>7467.4922572998203</v>
      </c>
      <c r="E5" s="442">
        <f>tertiair!E16</f>
        <v>108.4054341526307</v>
      </c>
      <c r="F5" s="442">
        <f ca="1">tertiair!F16</f>
        <v>1677.660840576584</v>
      </c>
      <c r="G5" s="442">
        <f>tertiair!G16</f>
        <v>0</v>
      </c>
      <c r="H5" s="442">
        <f>tertiair!H16</f>
        <v>0</v>
      </c>
      <c r="I5" s="442">
        <f>tertiair!I16</f>
        <v>0</v>
      </c>
      <c r="J5" s="442">
        <f>tertiair!J16</f>
        <v>0</v>
      </c>
      <c r="K5" s="442">
        <f>tertiair!K16</f>
        <v>0</v>
      </c>
      <c r="L5" s="442">
        <f ca="1">tertiair!L16</f>
        <v>0</v>
      </c>
      <c r="M5" s="442">
        <f>tertiair!M16</f>
        <v>0</v>
      </c>
      <c r="N5" s="442">
        <f ca="1">tertiair!N16</f>
        <v>303.45361547225929</v>
      </c>
      <c r="O5" s="442">
        <f>tertiair!O16</f>
        <v>3.1266666666666669</v>
      </c>
      <c r="P5" s="443">
        <f>tertiair!P16</f>
        <v>0</v>
      </c>
      <c r="Q5" s="441">
        <f t="shared" ref="Q5:Q14" ca="1" si="0">SUM(B5:P5)</f>
        <v>17420.795414167962</v>
      </c>
    </row>
    <row r="6" spans="1:17">
      <c r="A6" s="441" t="s">
        <v>187</v>
      </c>
      <c r="B6" s="442">
        <f>'openbare verlichting'!B8</f>
        <v>604.58399999999995</v>
      </c>
      <c r="C6" s="442"/>
      <c r="D6" s="442"/>
      <c r="E6" s="442"/>
      <c r="F6" s="442"/>
      <c r="G6" s="442"/>
      <c r="H6" s="442"/>
      <c r="I6" s="442"/>
      <c r="J6" s="442"/>
      <c r="K6" s="442"/>
      <c r="L6" s="442"/>
      <c r="M6" s="442"/>
      <c r="N6" s="442"/>
      <c r="O6" s="442"/>
      <c r="P6" s="443"/>
      <c r="Q6" s="441">
        <f t="shared" si="0"/>
        <v>604.58399999999995</v>
      </c>
    </row>
    <row r="7" spans="1:17">
      <c r="A7" s="441" t="s">
        <v>105</v>
      </c>
      <c r="B7" s="442">
        <f>landbouw!B8</f>
        <v>914.95303999999987</v>
      </c>
      <c r="C7" s="442">
        <f>landbouw!C8</f>
        <v>62.357142857142847</v>
      </c>
      <c r="D7" s="442">
        <f>landbouw!D8</f>
        <v>2289.7066143366969</v>
      </c>
      <c r="E7" s="442">
        <f>landbouw!E8</f>
        <v>19.619831558551912</v>
      </c>
      <c r="F7" s="442">
        <f>landbouw!F8</f>
        <v>2967.814479766183</v>
      </c>
      <c r="G7" s="442">
        <f>landbouw!G8</f>
        <v>0</v>
      </c>
      <c r="H7" s="442">
        <f>landbouw!H8</f>
        <v>0</v>
      </c>
      <c r="I7" s="442">
        <f>landbouw!I8</f>
        <v>0</v>
      </c>
      <c r="J7" s="442">
        <f>landbouw!J8</f>
        <v>88.156208938751007</v>
      </c>
      <c r="K7" s="442">
        <f>landbouw!K8</f>
        <v>0</v>
      </c>
      <c r="L7" s="442">
        <f>landbouw!L8</f>
        <v>0</v>
      </c>
      <c r="M7" s="442">
        <f>landbouw!M8</f>
        <v>0</v>
      </c>
      <c r="N7" s="442">
        <f>landbouw!N8</f>
        <v>0</v>
      </c>
      <c r="O7" s="442">
        <f>landbouw!O8</f>
        <v>0</v>
      </c>
      <c r="P7" s="443">
        <f>landbouw!P8</f>
        <v>0</v>
      </c>
      <c r="Q7" s="441">
        <f t="shared" si="0"/>
        <v>6342.6073174573257</v>
      </c>
    </row>
    <row r="8" spans="1:17">
      <c r="A8" s="441" t="s">
        <v>612</v>
      </c>
      <c r="B8" s="442">
        <f>industrie!B18</f>
        <v>2496.5099399999999</v>
      </c>
      <c r="C8" s="442">
        <f>industrie!C18</f>
        <v>0</v>
      </c>
      <c r="D8" s="442">
        <f>industrie!D18</f>
        <v>593.13574497854859</v>
      </c>
      <c r="E8" s="442">
        <f>industrie!E18</f>
        <v>344.06797079307648</v>
      </c>
      <c r="F8" s="442">
        <f>industrie!F18</f>
        <v>1254.5140942956286</v>
      </c>
      <c r="G8" s="442">
        <f>industrie!G18</f>
        <v>0</v>
      </c>
      <c r="H8" s="442">
        <f>industrie!H18</f>
        <v>0</v>
      </c>
      <c r="I8" s="442">
        <f>industrie!I18</f>
        <v>0</v>
      </c>
      <c r="J8" s="442">
        <f>industrie!J18</f>
        <v>7.8225605281672141</v>
      </c>
      <c r="K8" s="442">
        <f>industrie!K18</f>
        <v>0</v>
      </c>
      <c r="L8" s="442">
        <f>industrie!L18</f>
        <v>0</v>
      </c>
      <c r="M8" s="442">
        <f>industrie!M18</f>
        <v>0</v>
      </c>
      <c r="N8" s="442">
        <f>industrie!N18</f>
        <v>198.61292231861609</v>
      </c>
      <c r="O8" s="442">
        <f>industrie!O18</f>
        <v>0</v>
      </c>
      <c r="P8" s="443">
        <f>industrie!P18</f>
        <v>0</v>
      </c>
      <c r="Q8" s="441">
        <f t="shared" si="0"/>
        <v>4894.6632329140366</v>
      </c>
    </row>
    <row r="9" spans="1:17" s="447" customFormat="1">
      <c r="A9" s="445" t="s">
        <v>556</v>
      </c>
      <c r="B9" s="446">
        <f>transport!B14</f>
        <v>14.799210194261608</v>
      </c>
      <c r="C9" s="446">
        <f>transport!C14</f>
        <v>0</v>
      </c>
      <c r="D9" s="446">
        <f>transport!D14</f>
        <v>27.644032311704287</v>
      </c>
      <c r="E9" s="446">
        <f>transport!E14</f>
        <v>261.88552368086209</v>
      </c>
      <c r="F9" s="446">
        <f>transport!F14</f>
        <v>0</v>
      </c>
      <c r="G9" s="446">
        <f>transport!G14</f>
        <v>71268.580996053803</v>
      </c>
      <c r="H9" s="446">
        <f>transport!H14</f>
        <v>16696.898939893737</v>
      </c>
      <c r="I9" s="446">
        <f>transport!I14</f>
        <v>0</v>
      </c>
      <c r="J9" s="446">
        <f>transport!J14</f>
        <v>0</v>
      </c>
      <c r="K9" s="446">
        <f>transport!K14</f>
        <v>0</v>
      </c>
      <c r="L9" s="446">
        <f>transport!L14</f>
        <v>0</v>
      </c>
      <c r="M9" s="446">
        <f>transport!M14</f>
        <v>4641.2526413560618</v>
      </c>
      <c r="N9" s="446">
        <f>transport!N14</f>
        <v>0</v>
      </c>
      <c r="O9" s="446">
        <f>transport!O14</f>
        <v>0</v>
      </c>
      <c r="P9" s="446">
        <f>transport!P14</f>
        <v>0</v>
      </c>
      <c r="Q9" s="445">
        <f>SUM(B9:P9)</f>
        <v>92911.061343490423</v>
      </c>
    </row>
    <row r="10" spans="1:17">
      <c r="A10" s="441" t="s">
        <v>546</v>
      </c>
      <c r="B10" s="442">
        <f>transport!B54</f>
        <v>9.4211230027007424</v>
      </c>
      <c r="C10" s="442">
        <f>transport!C54</f>
        <v>0</v>
      </c>
      <c r="D10" s="442">
        <f>transport!D54</f>
        <v>0</v>
      </c>
      <c r="E10" s="442">
        <f>transport!E54</f>
        <v>0</v>
      </c>
      <c r="F10" s="442">
        <f>transport!F54</f>
        <v>0</v>
      </c>
      <c r="G10" s="442">
        <f>transport!G54</f>
        <v>1785.1785334982142</v>
      </c>
      <c r="H10" s="442">
        <f>transport!H54</f>
        <v>0</v>
      </c>
      <c r="I10" s="442">
        <f>transport!I54</f>
        <v>0</v>
      </c>
      <c r="J10" s="442">
        <f>transport!J54</f>
        <v>0</v>
      </c>
      <c r="K10" s="442">
        <f>transport!K54</f>
        <v>0</v>
      </c>
      <c r="L10" s="442">
        <f>transport!L54</f>
        <v>0</v>
      </c>
      <c r="M10" s="442">
        <f>transport!M54</f>
        <v>102.76922214584322</v>
      </c>
      <c r="N10" s="442">
        <f>transport!N54</f>
        <v>0</v>
      </c>
      <c r="O10" s="442">
        <f>transport!O54</f>
        <v>0</v>
      </c>
      <c r="P10" s="443">
        <f>transport!P54</f>
        <v>0</v>
      </c>
      <c r="Q10" s="441">
        <f t="shared" si="0"/>
        <v>1897.3688786467583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688.61450000000002</v>
      </c>
      <c r="C14" s="449"/>
      <c r="D14" s="449">
        <f>'SEAP template'!E25</f>
        <v>1045.2567435480601</v>
      </c>
      <c r="E14" s="449"/>
      <c r="F14" s="449"/>
      <c r="G14" s="449"/>
      <c r="H14" s="449"/>
      <c r="I14" s="449"/>
      <c r="J14" s="449"/>
      <c r="K14" s="449"/>
      <c r="L14" s="449"/>
      <c r="M14" s="449"/>
      <c r="N14" s="449"/>
      <c r="O14" s="449"/>
      <c r="P14" s="450"/>
      <c r="Q14" s="441">
        <f t="shared" si="0"/>
        <v>1733.8712435480602</v>
      </c>
    </row>
    <row r="15" spans="1:17" s="451" customFormat="1">
      <c r="A15" s="969" t="s">
        <v>550</v>
      </c>
      <c r="B15" s="909">
        <f ca="1">SUM(B4:B14)</f>
        <v>31119.610172467383</v>
      </c>
      <c r="C15" s="909">
        <f t="shared" ref="C15:Q15" ca="1" si="1">SUM(C4:C14)</f>
        <v>62.357142857142847</v>
      </c>
      <c r="D15" s="909">
        <f t="shared" ca="1" si="1"/>
        <v>32624.461623622286</v>
      </c>
      <c r="E15" s="909">
        <f t="shared" si="1"/>
        <v>1852.7793409040819</v>
      </c>
      <c r="F15" s="909">
        <f t="shared" ca="1" si="1"/>
        <v>41194.657296356549</v>
      </c>
      <c r="G15" s="909">
        <f t="shared" si="1"/>
        <v>73053.759529552015</v>
      </c>
      <c r="H15" s="909">
        <f t="shared" si="1"/>
        <v>16696.898939893737</v>
      </c>
      <c r="I15" s="909">
        <f t="shared" si="1"/>
        <v>0</v>
      </c>
      <c r="J15" s="909">
        <f t="shared" si="1"/>
        <v>919.04909116265003</v>
      </c>
      <c r="K15" s="909">
        <f t="shared" si="1"/>
        <v>0</v>
      </c>
      <c r="L15" s="909">
        <f t="shared" ca="1" si="1"/>
        <v>0</v>
      </c>
      <c r="M15" s="909">
        <f t="shared" si="1"/>
        <v>4744.0218635019046</v>
      </c>
      <c r="N15" s="909">
        <f t="shared" ca="1" si="1"/>
        <v>4864.1929315637735</v>
      </c>
      <c r="O15" s="909">
        <f t="shared" si="1"/>
        <v>96.926666666666662</v>
      </c>
      <c r="P15" s="909">
        <f t="shared" si="1"/>
        <v>362.26666666666665</v>
      </c>
      <c r="Q15" s="909">
        <f t="shared" ca="1" si="1"/>
        <v>207590.98126521485</v>
      </c>
    </row>
    <row r="17" spans="1:17">
      <c r="A17" s="452" t="s">
        <v>551</v>
      </c>
      <c r="B17" s="715">
        <f ca="1">huishoudens!B10</f>
        <v>0.20939238162344453</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3880.055857326965</v>
      </c>
      <c r="C22" s="442">
        <f t="shared" ref="C22:C32" ca="1" si="3">C4*$C$17</f>
        <v>0</v>
      </c>
      <c r="D22" s="442">
        <f t="shared" ref="D22:D32" si="4">D4*$D$17</f>
        <v>4282.6476986917851</v>
      </c>
      <c r="E22" s="442">
        <f t="shared" ref="E22:E32" si="5">E4*$E$17</f>
        <v>253.96773182320408</v>
      </c>
      <c r="F22" s="442">
        <f t="shared" ref="F22:F32" si="6">F4*$F$17</f>
        <v>9423.6763244187478</v>
      </c>
      <c r="G22" s="442">
        <f t="shared" ref="G22:G32" si="7">G4*$G$17</f>
        <v>0</v>
      </c>
      <c r="H22" s="442">
        <f t="shared" ref="H22:H32" si="8">H4*$H$17</f>
        <v>0</v>
      </c>
      <c r="I22" s="442">
        <f t="shared" ref="I22:I32" si="9">I4*$I$17</f>
        <v>0</v>
      </c>
      <c r="J22" s="442">
        <f t="shared" ref="J22:J32" si="10">J4*$J$17</f>
        <v>291.36689388028907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18131.71450614099</v>
      </c>
    </row>
    <row r="23" spans="1:17">
      <c r="A23" s="441" t="s">
        <v>149</v>
      </c>
      <c r="B23" s="442">
        <f t="shared" ca="1" si="2"/>
        <v>1645.9616065980479</v>
      </c>
      <c r="C23" s="442">
        <f t="shared" ca="1" si="3"/>
        <v>0</v>
      </c>
      <c r="D23" s="442">
        <f t="shared" ca="1" si="4"/>
        <v>1508.4334359745637</v>
      </c>
      <c r="E23" s="442">
        <f t="shared" si="5"/>
        <v>24.608033552647171</v>
      </c>
      <c r="F23" s="442">
        <f t="shared" ca="1" si="6"/>
        <v>447.93544443394796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3626.9385205592066</v>
      </c>
    </row>
    <row r="24" spans="1:17">
      <c r="A24" s="441" t="s">
        <v>187</v>
      </c>
      <c r="B24" s="442">
        <f t="shared" ca="1" si="2"/>
        <v>126.59528365142857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126.59528365142857</v>
      </c>
    </row>
    <row r="25" spans="1:17">
      <c r="A25" s="441" t="s">
        <v>105</v>
      </c>
      <c r="B25" s="442">
        <f t="shared" ca="1" si="2"/>
        <v>191.58419611921067</v>
      </c>
      <c r="C25" s="442">
        <f t="shared" ca="1" si="3"/>
        <v>0</v>
      </c>
      <c r="D25" s="442">
        <f t="shared" si="4"/>
        <v>462.5207360960128</v>
      </c>
      <c r="E25" s="442">
        <f t="shared" si="5"/>
        <v>4.4537017637912841</v>
      </c>
      <c r="F25" s="442">
        <f t="shared" si="6"/>
        <v>792.40646609757096</v>
      </c>
      <c r="G25" s="442">
        <f t="shared" si="7"/>
        <v>0</v>
      </c>
      <c r="H25" s="442">
        <f t="shared" si="8"/>
        <v>0</v>
      </c>
      <c r="I25" s="442">
        <f t="shared" si="9"/>
        <v>0</v>
      </c>
      <c r="J25" s="442">
        <f t="shared" si="10"/>
        <v>31.207297964317856</v>
      </c>
      <c r="K25" s="442">
        <f t="shared" si="11"/>
        <v>0</v>
      </c>
      <c r="L25" s="442">
        <f t="shared" si="12"/>
        <v>0</v>
      </c>
      <c r="M25" s="442">
        <f t="shared" si="13"/>
        <v>0</v>
      </c>
      <c r="N25" s="442">
        <f t="shared" si="14"/>
        <v>0</v>
      </c>
      <c r="O25" s="442">
        <f t="shared" si="15"/>
        <v>0</v>
      </c>
      <c r="P25" s="443">
        <f t="shared" si="16"/>
        <v>0</v>
      </c>
      <c r="Q25" s="441">
        <f t="shared" ca="1" si="17"/>
        <v>1482.1723980409035</v>
      </c>
    </row>
    <row r="26" spans="1:17">
      <c r="A26" s="441" t="s">
        <v>612</v>
      </c>
      <c r="B26" s="442">
        <f t="shared" ca="1" si="2"/>
        <v>522.75016208320255</v>
      </c>
      <c r="C26" s="442">
        <f t="shared" ca="1" si="3"/>
        <v>0</v>
      </c>
      <c r="D26" s="442">
        <f t="shared" si="4"/>
        <v>119.81342048566682</v>
      </c>
      <c r="E26" s="442">
        <f t="shared" si="5"/>
        <v>78.103429370028365</v>
      </c>
      <c r="F26" s="442">
        <f t="shared" si="6"/>
        <v>334.95526317693287</v>
      </c>
      <c r="G26" s="442">
        <f t="shared" si="7"/>
        <v>0</v>
      </c>
      <c r="H26" s="442">
        <f t="shared" si="8"/>
        <v>0</v>
      </c>
      <c r="I26" s="442">
        <f t="shared" si="9"/>
        <v>0</v>
      </c>
      <c r="J26" s="442">
        <f t="shared" si="10"/>
        <v>2.7691864269711939</v>
      </c>
      <c r="K26" s="442">
        <f t="shared" si="11"/>
        <v>0</v>
      </c>
      <c r="L26" s="442">
        <f t="shared" si="12"/>
        <v>0</v>
      </c>
      <c r="M26" s="442">
        <f t="shared" si="13"/>
        <v>0</v>
      </c>
      <c r="N26" s="442">
        <f t="shared" si="14"/>
        <v>0</v>
      </c>
      <c r="O26" s="442">
        <f t="shared" si="15"/>
        <v>0</v>
      </c>
      <c r="P26" s="443">
        <f t="shared" si="16"/>
        <v>0</v>
      </c>
      <c r="Q26" s="441">
        <f t="shared" ca="1" si="17"/>
        <v>1058.3914615428018</v>
      </c>
    </row>
    <row r="27" spans="1:17" s="447" customFormat="1">
      <c r="A27" s="445" t="s">
        <v>556</v>
      </c>
      <c r="B27" s="709">
        <f t="shared" ca="1" si="2"/>
        <v>3.0988418687223973</v>
      </c>
      <c r="C27" s="446">
        <f t="shared" ca="1" si="3"/>
        <v>0</v>
      </c>
      <c r="D27" s="446">
        <f t="shared" si="4"/>
        <v>5.5840945269642663</v>
      </c>
      <c r="E27" s="446">
        <f t="shared" si="5"/>
        <v>59.448013875555695</v>
      </c>
      <c r="F27" s="446">
        <f t="shared" si="6"/>
        <v>0</v>
      </c>
      <c r="G27" s="446">
        <f t="shared" si="7"/>
        <v>19028.711125946367</v>
      </c>
      <c r="H27" s="446">
        <f t="shared" si="8"/>
        <v>4157.5278360335406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23254.36991225115</v>
      </c>
    </row>
    <row r="28" spans="1:17">
      <c r="A28" s="441" t="s">
        <v>546</v>
      </c>
      <c r="B28" s="442">
        <f t="shared" ca="1" si="2"/>
        <v>1.9727113831029255</v>
      </c>
      <c r="C28" s="442">
        <f t="shared" ca="1" si="3"/>
        <v>0</v>
      </c>
      <c r="D28" s="442">
        <f t="shared" si="4"/>
        <v>0</v>
      </c>
      <c r="E28" s="442">
        <f t="shared" si="5"/>
        <v>0</v>
      </c>
      <c r="F28" s="442">
        <f t="shared" si="6"/>
        <v>0</v>
      </c>
      <c r="G28" s="442">
        <f t="shared" si="7"/>
        <v>476.64266844402323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478.61537982712616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144.19063017543746</v>
      </c>
      <c r="C32" s="442">
        <f t="shared" ca="1" si="3"/>
        <v>0</v>
      </c>
      <c r="D32" s="442">
        <f t="shared" si="4"/>
        <v>211.14186219670813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355.33249237214557</v>
      </c>
    </row>
    <row r="33" spans="1:17" s="451" customFormat="1">
      <c r="A33" s="969" t="s">
        <v>550</v>
      </c>
      <c r="B33" s="909">
        <f ca="1">SUM(B22:B32)</f>
        <v>6516.2092892061173</v>
      </c>
      <c r="C33" s="909">
        <f t="shared" ref="C33:Q33" ca="1" si="18">SUM(C22:C32)</f>
        <v>0</v>
      </c>
      <c r="D33" s="909">
        <f t="shared" ca="1" si="18"/>
        <v>6590.141247971701</v>
      </c>
      <c r="E33" s="909">
        <f t="shared" si="18"/>
        <v>420.58091038522662</v>
      </c>
      <c r="F33" s="909">
        <f t="shared" ca="1" si="18"/>
        <v>10998.973498127199</v>
      </c>
      <c r="G33" s="909">
        <f t="shared" si="18"/>
        <v>19505.35379439039</v>
      </c>
      <c r="H33" s="909">
        <f t="shared" si="18"/>
        <v>4157.5278360335406</v>
      </c>
      <c r="I33" s="909">
        <f t="shared" si="18"/>
        <v>0</v>
      </c>
      <c r="J33" s="909">
        <f t="shared" si="18"/>
        <v>325.3433782715781</v>
      </c>
      <c r="K33" s="909">
        <f t="shared" si="18"/>
        <v>0</v>
      </c>
      <c r="L33" s="909">
        <f t="shared" ca="1" si="18"/>
        <v>0</v>
      </c>
      <c r="M33" s="909">
        <f t="shared" si="18"/>
        <v>0</v>
      </c>
      <c r="N33" s="909">
        <f t="shared" ca="1" si="18"/>
        <v>0</v>
      </c>
      <c r="O33" s="909">
        <f t="shared" si="18"/>
        <v>0</v>
      </c>
      <c r="P33" s="909">
        <f t="shared" si="18"/>
        <v>0</v>
      </c>
      <c r="Q33" s="909">
        <f t="shared" ca="1" si="18"/>
        <v>48514.129954385753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1590.8502665573517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1634.5002665573518</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0.20939238162344453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0.20939238162344453</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2022-07-26T11:31:27Z</dcterms:modified>
</cp:coreProperties>
</file>