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9C7C1D7C-36AF-4727-AA05-2925BCCA62F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53" i="18"/>
  <c r="V53" i="18"/>
  <c r="U53" i="18"/>
  <c r="T53" i="18"/>
  <c r="S53" i="18"/>
  <c r="R53" i="18"/>
  <c r="Q53" i="18"/>
  <c r="P53" i="18"/>
  <c r="O53" i="18"/>
  <c r="N53" i="18"/>
  <c r="M53" i="18"/>
  <c r="W52" i="18"/>
  <c r="V52" i="18"/>
  <c r="U52" i="18"/>
  <c r="T52" i="18"/>
  <c r="S52" i="18"/>
  <c r="R52" i="18"/>
  <c r="Q52" i="18"/>
  <c r="P52" i="18"/>
  <c r="O52" i="18"/>
  <c r="N52" i="18"/>
  <c r="M52" i="18"/>
  <c r="W51" i="18"/>
  <c r="V51" i="18"/>
  <c r="U51" i="18"/>
  <c r="T51" i="18"/>
  <c r="S51" i="18"/>
  <c r="R51" i="18"/>
  <c r="Q51" i="18"/>
  <c r="P51" i="18"/>
  <c r="O51" i="18"/>
  <c r="N51" i="18"/>
  <c r="M51" i="18"/>
  <c r="W50" i="18"/>
  <c r="V50" i="18"/>
  <c r="U50" i="18"/>
  <c r="T50" i="18"/>
  <c r="I9" i="18"/>
  <c r="S50" i="18"/>
  <c r="E9" i="18"/>
  <c r="R50" i="18"/>
  <c r="Q50" i="18"/>
  <c r="P50" i="18"/>
  <c r="C9" i="18"/>
  <c r="O50" i="18"/>
  <c r="N50" i="18"/>
  <c r="B9" i="18"/>
  <c r="M50" i="18"/>
  <c r="W46" i="18"/>
  <c r="V46" i="18"/>
  <c r="U46" i="18"/>
  <c r="T46" i="18"/>
  <c r="S46" i="18"/>
  <c r="F6" i="17"/>
  <c r="R46" i="18"/>
  <c r="Q46" i="18"/>
  <c r="P46" i="18"/>
  <c r="O46" i="18"/>
  <c r="N46" i="18"/>
  <c r="M46" i="18"/>
  <c r="W45" i="18"/>
  <c r="V45" i="18"/>
  <c r="U45" i="18"/>
  <c r="T45" i="18"/>
  <c r="S45" i="18"/>
  <c r="F13" i="15"/>
  <c r="R45" i="18"/>
  <c r="Q45" i="18"/>
  <c r="P45" i="18"/>
  <c r="O45" i="18"/>
  <c r="C13" i="15"/>
  <c r="N45" i="18"/>
  <c r="M45" i="18"/>
  <c r="W44" i="18"/>
  <c r="V44" i="18"/>
  <c r="U44" i="18"/>
  <c r="T44" i="18"/>
  <c r="S44" i="18"/>
  <c r="R44" i="18"/>
  <c r="Q44" i="18"/>
  <c r="P44" i="18"/>
  <c r="O44" i="18"/>
  <c r="N44" i="18"/>
  <c r="M44" i="18"/>
  <c r="W43" i="18"/>
  <c r="V43" i="18"/>
  <c r="U43" i="18"/>
  <c r="T43" i="18"/>
  <c r="S43" i="18"/>
  <c r="R43" i="18"/>
  <c r="Q43" i="18"/>
  <c r="P43" i="18"/>
  <c r="O43" i="18"/>
  <c r="B17" i="18"/>
  <c r="N43" i="18"/>
  <c r="B8" i="18"/>
  <c r="M43"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59" i="18"/>
  <c r="C63" i="18"/>
  <c r="C6" i="17"/>
  <c r="J9" i="18"/>
  <c r="J77" i="14"/>
  <c r="J9" i="59"/>
  <c r="K20" i="18"/>
  <c r="L10" i="59"/>
  <c r="B16" i="16"/>
  <c r="C59" i="18"/>
  <c r="E62"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63" i="18"/>
  <c r="H17" i="18"/>
  <c r="M87" i="14"/>
  <c r="Q14" i="48"/>
  <c r="D63" i="18"/>
  <c r="H63" i="18"/>
  <c r="E63" i="18"/>
  <c r="E17" i="18"/>
  <c r="E20" i="18"/>
  <c r="G78" i="14"/>
  <c r="B62" i="18"/>
  <c r="C8" i="18"/>
  <c r="D76" i="14"/>
  <c r="D8" i="59"/>
  <c r="D10" i="59"/>
  <c r="H62" i="18"/>
  <c r="F62" i="18"/>
  <c r="C62" i="18"/>
  <c r="I62" i="18"/>
  <c r="H8" i="18"/>
  <c r="M76" i="14"/>
  <c r="D62" i="18"/>
  <c r="B63" i="18"/>
  <c r="C17" i="18"/>
  <c r="D87" i="14"/>
  <c r="D17" i="59"/>
  <c r="D20" i="59"/>
  <c r="F63" i="18"/>
  <c r="O9" i="18"/>
  <c r="G63" i="18"/>
  <c r="G62"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<sst xmlns="http://schemas.openxmlformats.org/spreadsheetml/2006/main" count="2511" uniqueCount="912">
  <si>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</si>
  <si>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</si>
  <si>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</si>
  <si>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</si>
  <si>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</si>
  <si>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</si>
  <si>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</si>
  <si>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</si>
  <si>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</si>
  <si>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</si>
  <si>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</si>
  <si>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</si>
  <si>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</si>
  <si>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</si>
  <si>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</si>
  <si>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</si>
  <si>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</si>
  <si>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</si>
  <si>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</si>
  <si>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</si>
  <si>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</si>
  <si>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</si>
  <si>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</si>
  <si>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</si>
  <si>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</si>
  <si>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</si>
  <si>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</si>
  <si>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</si>
  <si>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</si>
  <si>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</si>
  <si>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</si>
  <si>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</si>
  <si>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</si>
  <si>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</si>
  <si>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</si>
  <si>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</si>
  <si>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</si>
  <si>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</si>
  <si>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</si>
  <si>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</si>
  <si>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</si>
  <si>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</si>
  <si>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</si>
  <si>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</si>
  <si>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</si>
  <si>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</si>
  <si>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</si>
  <si>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</si>
  <si>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</si>
  <si>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</si>
  <si>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</si>
  <si>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</si>
  <si>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</si>
  <si>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</si>
  <si>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</si>
  <si>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</si>
  <si>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</si>
  <si>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</si>
  <si>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</si>
  <si>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</si>
  <si>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</si>
  <si>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</si>
  <si>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</si>
  <si>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</si>
  <si>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</si>
  <si>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</si>
  <si>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</si>
  <si>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</si>
  <si>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</si>
  <si>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</si>
  <si>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</si>
  <si>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</si>
  <si>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</si>
  <si>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</si>
  <si>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</si>
  <si>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</si>
  <si>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</si>
  <si>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</si>
  <si>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</si>
  <si>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</si>
  <si>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</si>
  <si>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</si>
  <si>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</si>
  <si>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</si>
  <si>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</si>
  <si>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</si>
  <si>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</si>
  <si>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</si>
  <si>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</si>
  <si>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</si>
  <si>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</si>
  <si>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</si>
  <si>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</si>
  <si>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</si>
  <si>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</si>
  <si>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</si>
  <si>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</si>
  <si>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</si>
  <si>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</si>
  <si>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</si>
  <si>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</si>
  <si>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</si>
  <si>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</si>
  <si>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</si>
  <si>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</si>
  <si>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</si>
  <si>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</si>
  <si>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</si>
  <si>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</si>
  <si>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</si>
  <si>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</si>
  <si>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</si>
  <si>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</si>
  <si>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</si>
  <si>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</si>
  <si>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</si>
  <si>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</si>
  <si>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</si>
  <si>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</si>
  <si>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</si>
  <si>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</si>
  <si>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</si>
  <si>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</si>
  <si>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</si>
  <si>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</si>
  <si>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</si>
  <si>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</si>
  <si>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</si>
  <si>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</si>
  <si>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</si>
  <si>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</si>
  <si>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</si>
  <si>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</si>
  <si>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</si>
  <si>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</si>
  <si>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</si>
  <si>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</si>
  <si>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</si>
  <si>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</si>
  <si>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</si>
  <si>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</si>
  <si>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</si>
  <si>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</si>
  <si>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</si>
  <si>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</si>
  <si>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</si>
  <si>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</si>
  <si>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</si>
  <si>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</si>
  <si>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</si>
  <si>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</si>
  <si>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</si>
  <si>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</si>
  <si>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</si>
  <si>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</si>
  <si>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</si>
  <si>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</si>
  <si>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</si>
  <si>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</si>
  <si>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</si>
  <si>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</si>
  <si>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</si>
  <si>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</si>
  <si>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</si>
  <si>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</si>
  <si>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</si>
  <si>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</si>
  <si>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</si>
  <si>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</si>
  <si>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</si>
  <si>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</si>
  <si>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</si>
  <si>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</si>
  <si>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</si>
  <si>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</si>
  <si>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</si>
  <si>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</si>
  <si>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</si>
  <si>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</si>
  <si>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</si>
  <si>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</si>
  <si>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</si>
  <si>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</si>
  <si>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</si>
  <si>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</si>
  <si>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</si>
  <si>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</si>
  <si>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</si>
  <si>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</si>
  <si>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</si>
  <si>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</si>
  <si>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</si>
  <si>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</si>
  <si>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</si>
  <si>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</si>
  <si>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</si>
  <si>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</si>
  <si>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</si>
  <si>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</si>
  <si>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</si>
  <si>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</si>
  <si>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</si>
  <si>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</si>
  <si>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</si>
  <si>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</si>
  <si>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</si>
  <si>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</si>
  <si>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</si>
  <si>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</si>
  <si>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</si>
  <si>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</si>
  <si>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</si>
  <si>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</si>
  <si>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</si>
  <si>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</si>
  <si>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</si>
  <si>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</si>
  <si>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</si>
  <si>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</si>
  <si>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</si>
  <si>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</si>
  <si>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</si>
  <si>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</si>
  <si>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</si>
  <si>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</si>
  <si>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</si>
  <si>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</si>
  <si>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</si>
  <si>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</si>
  <si>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</si>
  <si>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</si>
  <si>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</si>
  <si>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</si>
  <si>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</si>
  <si>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</si>
  <si>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</si>
  <si>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</si>
  <si>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</si>
  <si>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</si>
  <si>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</si>
  <si>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</si>
  <si>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</si>
  <si>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</si>
  <si>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</si>
  <si>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</si>
  <si>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</si>
  <si>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</si>
  <si>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</si>
  <si>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</si>
  <si>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</si>
  <si>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</si>
  <si>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</si>
  <si>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</si>
  <si>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</si>
  <si>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</si>
  <si>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</si>
  <si>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</si>
  <si>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</si>
  <si>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</si>
  <si>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</si>
  <si>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</si>
  <si>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</si>
  <si>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</si>
  <si>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</si>
  <si>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</si>
  <si>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</si>
  <si>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</si>
  <si>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</si>
  <si>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</si>
  <si>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</si>
  <si>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</si>
  <si>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</si>
  <si>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</si>
  <si>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</si>
  <si>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</si>
  <si>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</si>
  <si>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</si>
  <si>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</si>
  <si>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</si>
  <si>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</si>
  <si>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</si>
  <si>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</si>
  <si>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</si>
  <si>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</si>
  <si>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</si>
  <si>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</si>
  <si>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</si>
  <si>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</si>
  <si>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</si>
  <si>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</si>
  <si>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</si>
  <si>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</si>
  <si>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</si>
  <si>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</si>
  <si>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</si>
  <si>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</si>
  <si>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</si>
  <si>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</si>
  <si>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</si>
  <si>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</si>
  <si>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</si>
  <si>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</si>
  <si>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</si>
  <si>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</si>
  <si>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</si>
  <si>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</si>
  <si>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</si>
  <si>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</si>
  <si>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</si>
  <si>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</si>
  <si>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</si>
  <si>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</si>
  <si>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</si>
  <si>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</si>
  <si>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</si>
  <si>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</si>
  <si>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</si>
  <si>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</si>
  <si>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</si>
  <si>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</si>
  <si>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</si>
  <si>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</si>
  <si>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</si>
  <si>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</si>
  <si>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</si>
  <si>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</si>
  <si>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</si>
  <si>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</si>
  <si>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</si>
  <si>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</si>
  <si>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</si>
  <si>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</si>
  <si>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</si>
  <si>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</si>
  <si>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</si>
  <si>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</si>
  <si>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</si>
  <si>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</si>
  <si>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</si>
  <si>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</si>
  <si>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</si>
  <si>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</si>
  <si>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</si>
  <si>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</si>
  <si>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</si>
  <si>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</si>
  <si>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</si>
  <si>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</si>
  <si>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</si>
  <si>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</si>
  <si>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</si>
  <si>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</si>
  <si>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</si>
  <si>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</si>
  <si>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</si>
  <si>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</si>
  <si>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</si>
  <si>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</si>
  <si>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</si>
  <si>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</si>
  <si>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</si>
  <si>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</si>
  <si>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</si>
  <si>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</si>
  <si>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</si>
  <si>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</si>
  <si>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</si>
  <si>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</si>
  <si>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</si>
  <si>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</si>
  <si>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</si>
  <si>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</si>
  <si>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</si>
  <si>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</si>
  <si>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</si>
  <si>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</si>
  <si>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</si>
  <si>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</si>
  <si>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</si>
  <si>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</si>
  <si>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</si>
  <si>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</si>
  <si>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</si>
  <si>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</si>
  <si>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</si>
  <si>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</si>
  <si>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</si>
  <si>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</si>
  <si>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</si>
  <si>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</si>
  <si>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</si>
  <si>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</si>
  <si>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</si>
  <si>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</si>
  <si>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</si>
  <si>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</si>
  <si>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</si>
  <si>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</si>
  <si>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</si>
  <si>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</si>
  <si>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</si>
  <si>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</si>
  <si>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</si>
  <si>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</si>
  <si>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</si>
  <si>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</si>
  <si>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</si>
  <si>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</si>
  <si>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</si>
  <si>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</si>
  <si>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</si>
  <si>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</si>
  <si>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</si>
  <si>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</si>
  <si>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</si>
  <si>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</si>
  <si>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</si>
  <si>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</si>
  <si>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</si>
  <si>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</si>
  <si>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</si>
  <si>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</si>
  <si>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</si>
  <si>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</si>
  <si>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</si>
  <si>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</si>
  <si>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</si>
  <si>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</si>
  <si>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</si>
  <si>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</si>
  <si>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</si>
  <si>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</si>
  <si>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</si>
  <si>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</si>
  <si>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</si>
  <si>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</si>
  <si>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</si>
  <si>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</si>
  <si>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</si>
  <si>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</si>
  <si>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</si>
  <si>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</si>
  <si>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</si>
  <si>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</si>
  <si>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</si>
  <si>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</si>
  <si>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</si>
  <si>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</si>
  <si>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</si>
  <si>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</si>
  <si>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</si>
  <si>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</si>
  <si>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</si>
  <si>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</si>
  <si>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</si>
  <si>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</si>
  <si>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</si>
  <si>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</si>
  <si>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</si>
  <si>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</si>
  <si>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</si>
  <si>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</si>
  <si>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</si>
  <si>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</si>
  <si>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</si>
  <si>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</si>
  <si>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</si>
  <si>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</si>
  <si>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</si>
  <si>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</si>
  <si>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</si>
  <si>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</si>
  <si>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</si>
  <si>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</si>
  <si>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</si>
  <si>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</si>
  <si>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</si>
  <si>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</si>
  <si>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</si>
  <si>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</si>
  <si>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</si>
  <si>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</si>
  <si>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</si>
  <si>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</si>
  <si>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</si>
  <si>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</si>
  <si>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</si>
  <si>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</si>
  <si>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</si>
  <si>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</si>
  <si>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</si>
  <si>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</si>
  <si>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</si>
  <si>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</si>
  <si>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</si>
  <si>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</si>
  <si>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</si>
  <si>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</si>
  <si>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</si>
  <si>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</si>
  <si>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</si>
  <si>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</si>
  <si>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</si>
  <si>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</si>
  <si>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</si>
  <si>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</si>
  <si>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</si>
  <si>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</si>
  <si>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</si>
  <si>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</si>
  <si>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</si>
  <si>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</si>
  <si>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</si>
  <si>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</si>
  <si>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</si>
  <si>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</si>
  <si>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</si>
  <si>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</si>
  <si>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</si>
  <si>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</si>
  <si>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</si>
  <si>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</si>
  <si>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</si>
  <si>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</si>
  <si>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</si>
  <si>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</si>
  <si>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</si>
  <si>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</si>
  <si>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</si>
  <si>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</si>
  <si>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</si>
  <si>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</si>
  <si>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</si>
  <si>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</si>
  <si>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</si>
  <si>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</si>
  <si>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</si>
  <si>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</si>
  <si>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</si>
  <si>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</si>
  <si>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</si>
  <si>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</si>
  <si>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</si>
  <si>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</si>
  <si>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</si>
  <si>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</si>
  <si>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</si>
  <si>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</si>
  <si>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</si>
  <si>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</si>
  <si>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</si>
  <si>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</si>
  <si>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</si>
  <si>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</si>
  <si>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</si>
  <si>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</si>
  <si>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</si>
  <si>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</si>
  <si>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</si>
  <si>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</si>
  <si>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</si>
  <si>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</si>
  <si>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</si>
  <si>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</si>
  <si>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</si>
  <si>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</si>
  <si>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</si>
  <si>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</si>
  <si>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</si>
  <si>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</si>
  <si>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</si>
  <si>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</si>
  <si>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</si>
  <si>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</si>
  <si>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</si>
  <si>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</si>
  <si>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</si>
  <si>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</si>
  <si>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</si>
  <si>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</si>
  <si>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</si>
  <si>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</si>
  <si>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</si>
  <si>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</si>
  <si>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</si>
  <si>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</si>
  <si>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</si>
  <si>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</si>
  <si>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</si>
  <si>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</si>
  <si>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</si>
  <si>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</si>
  <si>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</si>
  <si>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</si>
  <si>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</si>
  <si>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</si>
  <si>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</si>
  <si>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</si>
  <si>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</si>
  <si>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</si>
  <si>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</si>
  <si>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</si>
  <si>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</si>
  <si>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</si>
  <si>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</si>
  <si>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</si>
  <si>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</si>
  <si>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</si>
  <si>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</si>
  <si>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</si>
  <si>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</si>
  <si>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</si>
  <si>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</si>
  <si>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</si>
  <si>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</si>
  <si>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</si>
  <si>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</si>
  <si>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</si>
  <si>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</si>
  <si>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</si>
  <si>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</si>
  <si>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</si>
  <si>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</si>
  <si>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</si>
  <si>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</si>
  <si>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</si>
  <si>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</si>
  <si>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</si>
  <si>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</si>
  <si>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</si>
  <si>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</si>
  <si>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</si>
  <si>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</si>
  <si>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</si>
  <si>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</si>
  <si>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</si>
  <si>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</si>
  <si>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</si>
  <si>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</si>
  <si>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</si>
  <si>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</si>
  <si>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</si>
  <si>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</si>
  <si>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</si>
  <si>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</si>
  <si>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</si>
  <si>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</si>
  <si>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</si>
  <si>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</si>
  <si>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</si>
  <si>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</si>
  <si>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</si>
  <si>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</si>
  <si>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</si>
  <si>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</si>
  <si>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</si>
  <si>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</si>
  <si>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</si>
  <si>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</si>
  <si>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</si>
  <si>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</si>
  <si>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</si>
  <si>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</si>
  <si>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</si>
  <si>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</si>
  <si>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</si>
  <si>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</si>
  <si>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</si>
  <si>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</si>
  <si>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</si>
  <si>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</si>
  <si>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</si>
  <si>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</si>
  <si>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</si>
  <si>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</si>
  <si>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</si>
  <si>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</si>
  <si>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</si>
  <si>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</si>
  <si>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</si>
  <si>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</si>
  <si>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</si>
  <si>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</si>
  <si>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</si>
  <si>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</si>
  <si>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</si>
  <si>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</si>
  <si>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</si>
  <si>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</si>
  <si>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</si>
  <si>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</si>
  <si>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</si>
  <si>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</si>
  <si>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</si>
  <si>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</si>
  <si>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</si>
  <si>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</si>
  <si>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</si>
  <si>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</si>
  <si>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</si>
  <si>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</si>
  <si>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</si>
  <si>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</si>
  <si>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</si>
  <si>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</si>
  <si>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</si>
  <si>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</si>
  <si>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</si>
  <si>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</si>
  <si>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</si>
  <si>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</si>
  <si>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</si>
  <si>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</si>
  <si>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</si>
  <si>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</si>
  <si>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</si>
  <si>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</si>
  <si>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</si>
  <si>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</si>
  <si>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</si>
  <si>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</si>
  <si>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</si>
  <si>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</si>
  <si>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</si>
  <si>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</si>
  <si>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</si>
  <si>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</si>
  <si>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</si>
  <si>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</si>
  <si>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</si>
  <si>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</si>
  <si>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</si>
  <si>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</si>
  <si>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</si>
  <si>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</si>
  <si>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</si>
  <si>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</si>
  <si>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</si>
  <si>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</si>
  <si>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</si>
  <si>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</si>
  <si>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</si>
  <si>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</si>
  <si>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</si>
  <si>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</si>
  <si>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</si>
  <si>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</si>
  <si>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</si>
  <si>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</si>
  <si>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</si>
  <si>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</si>
  <si>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</si>
  <si>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</si>
  <si>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</si>
  <si>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</si>
  <si>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</si>
  <si>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</si>
  <si>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</si>
  <si>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</si>
  <si>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</si>
  <si>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</si>
  <si>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</si>
  <si>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</si>
  <si>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</si>
  <si>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</si>
  <si>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</si>
  <si>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</si>
  <si>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</si>
  <si>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</si>
  <si>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</si>
  <si>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</si>
  <si>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</si>
  <si>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</si>
  <si>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</si>
  <si>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</si>
  <si>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</si>
  <si>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</si>
  <si>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</si>
  <si>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</si>
  <si>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</si>
  <si>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</si>
  <si>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</si>
  <si>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</si>
  <si>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</si>
  <si>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</si>
  <si>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</si>
  <si>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</si>
  <si>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</si>
  <si>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</si>
  <si>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</si>
  <si>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</si>
  <si>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</si>
  <si>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</si>
  <si>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</si>
  <si>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</si>
  <si>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</si>
  <si>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</si>
  <si>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</si>
  <si>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</si>
  <si>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</si>
  <si>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</si>
  <si>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</si>
  <si>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</si>
  <si>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</si>
  <si>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</si>
  <si>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</si>
  <si>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</si>
  <si>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</si>
  <si>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</si>
  <si>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</si>
  <si>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</si>
  <si>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</si>
  <si>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</si>
  <si>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</si>
  <si>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</si>
  <si>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</si>
  <si>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</si>
  <si>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</si>
  <si>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</si>
  <si>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</si>
  <si>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</si>
  <si>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</si>
  <si>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</si>
  <si>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</si>
  <si>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</si>
  <si>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</si>
  <si>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</si>
  <si>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</si>
  <si>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</si>
  <si>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</si>
  <si>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</si>
  <si>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</si>
  <si>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</si>
  <si>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</si>
  <si>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</si>
  <si>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</si>
  <si>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</si>
  <si>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</si>
  <si>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</si>
  <si>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</si>
  <si>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</si>
  <si>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</si>
  <si>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</si>
  <si>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</si>
  <si>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</si>
  <si>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</si>
  <si>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</si>
  <si>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</si>
  <si>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</si>
  <si>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</si>
  <si>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</si>
  <si>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</si>
  <si>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</si>
  <si>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</si>
  <si>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</si>
  <si>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</si>
  <si>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</si>
  <si>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</si>
  <si>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</si>
  <si>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</si>
  <si>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</si>
  <si>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</si>
  <si>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</si>
  <si>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</si>
  <si>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</si>
  <si>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</si>
  <si>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</si>
  <si>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</si>
  <si>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</si>
  <si>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</si>
  <si>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</si>
  <si>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</si>
  <si>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</si>
  <si>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</si>
  <si>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</si>
  <si>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</si>
  <si>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</si>
  <si>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</si>
  <si>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</si>
  <si>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</si>
  <si>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</si>
  <si>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</si>
  <si>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</si>
  <si>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</si>
  <si>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</si>
  <si>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</si>
  <si>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</si>
  <si>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</si>
  <si>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</si>
  <si>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</si>
  <si>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</si>
  <si>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</si>
  <si>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</si>
  <si>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</si>
  <si>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</si>
  <si>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</si>
  <si>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</si>
  <si>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</si>
  <si>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</si>
  <si>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13014</t>
  </si>
  <si>
    <t>HOOGSTRATEN</t>
  </si>
  <si>
    <t>Paarden&amp;pony's 200 - 600 kg</t>
  </si>
  <si>
    <t>Paarden&amp;pony's &lt; 200 kg</t>
  </si>
  <si>
    <t>vloeibaar gas (MWh)</t>
  </si>
  <si>
    <t>interne verbrandingsmotor</t>
  </si>
  <si>
    <t>WKK interne verbrandinsgmotor (gas)</t>
  </si>
  <si>
    <t>IVEKA</t>
  </si>
  <si>
    <t>WKK interne verbrandinsgmotor (vloeibaar)</t>
  </si>
  <si>
    <t>eilandwerking</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</si>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</sst>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AC16399A-5162-49C0-A746-F831619235E3}"/>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180618.88242499216</c:v>
                </c:pt>
                <c:pt idx="1">
                  <c:v>114362.11452768635</c:v>
                </c:pt>
                <c:pt idx="2">
                  <c:v>1420.894</c:v>
                </c:pt>
                <c:pt idx="3">
                  <c:v>218973.13509750008</c:v>
                </c:pt>
                <c:pt idx="4">
                  <c:v>204584.7110043102</c:v>
                </c:pt>
                <c:pt idx="5">
                  <c:v>304961.99997772253</c:v>
                </c:pt>
                <c:pt idx="6">
                  <c:v>1849.5535583612982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180618.88242499216</c:v>
                </c:pt>
                <c:pt idx="1">
                  <c:v>114362.11452768635</c:v>
                </c:pt>
                <c:pt idx="2">
                  <c:v>1420.894</c:v>
                </c:pt>
                <c:pt idx="3">
                  <c:v>218973.13509750008</c:v>
                </c:pt>
                <c:pt idx="4">
                  <c:v>204584.7110043102</c:v>
                </c:pt>
                <c:pt idx="5">
                  <c:v>304961.99997772253</c:v>
                </c:pt>
                <c:pt idx="6">
                  <c:v>1849.5535583612982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37125.850140254828</c:v>
                </c:pt>
                <c:pt idx="2">
                  <c:v>23809.915007728501</c:v>
                </c:pt>
                <c:pt idx="3">
                  <c:v>277.04372044659482</c:v>
                </c:pt>
                <c:pt idx="4">
                  <c:v>52603.089377536235</c:v>
                </c:pt>
                <c:pt idx="5">
                  <c:v>41488.678776167741</c:v>
                </c:pt>
                <c:pt idx="6">
                  <c:v>76546.968216985697</c:v>
                </c:pt>
                <c:pt idx="7">
                  <c:v>466.42148926825894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37125.850140254828</c:v>
                </c:pt>
                <c:pt idx="2">
                  <c:v>23809.915007728501</c:v>
                </c:pt>
                <c:pt idx="3">
                  <c:v>277.04372044659482</c:v>
                </c:pt>
                <c:pt idx="4">
                  <c:v>52603.089377536235</c:v>
                </c:pt>
                <c:pt idx="5">
                  <c:v>41488.678776167741</c:v>
                </c:pt>
                <c:pt idx="6">
                  <c:v>76546.968216985697</c:v>
                </c:pt>
                <c:pt idx="7">
                  <c:v>466.42148926825894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13014</v>
      </c>
      <c r="B6" s="381"/>
      <c r="C6" s="382"/>
    </row>
    <row r="7" spans="1:7" s="379" customFormat="1" ht="15.75" customHeight="1">
      <c r="A7" s="383" t="str">
        <f>txtMunicipality</f>
        <v>HOOGSTRATEN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0.19497845753912313</v>
      </c>
      <c r="C17" s="489">
        <f ca="1">'EF ele_warmte'!B22</f>
        <v>0.23213231759542105</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0.19497845753912313</v>
      </c>
      <c r="C29" s="490">
        <f ca="1">'EF ele_warmte'!B22</f>
        <v>0.23213231759542105</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8251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6349</v>
      </c>
      <c r="C14" s="322"/>
      <c r="D14" s="322"/>
      <c r="E14" s="322"/>
      <c r="F14" s="322"/>
    </row>
    <row r="15" spans="1:6">
      <c r="A15" s="1261" t="s">
        <v>177</v>
      </c>
      <c r="B15" s="1262">
        <v>2734</v>
      </c>
      <c r="C15" s="322"/>
      <c r="D15" s="322"/>
      <c r="E15" s="322"/>
      <c r="F15" s="322"/>
    </row>
    <row r="16" spans="1:6">
      <c r="A16" s="1261" t="s">
        <v>6</v>
      </c>
      <c r="B16" s="1262">
        <v>6445</v>
      </c>
      <c r="C16" s="322"/>
      <c r="D16" s="322"/>
      <c r="E16" s="322"/>
      <c r="F16" s="322"/>
    </row>
    <row r="17" spans="1:6">
      <c r="A17" s="1261" t="s">
        <v>7</v>
      </c>
      <c r="B17" s="1262">
        <v>820</v>
      </c>
      <c r="C17" s="322"/>
      <c r="D17" s="322"/>
      <c r="E17" s="322"/>
      <c r="F17" s="322"/>
    </row>
    <row r="18" spans="1:6">
      <c r="A18" s="1261" t="s">
        <v>8</v>
      </c>
      <c r="B18" s="1262">
        <v>3699</v>
      </c>
      <c r="C18" s="322"/>
      <c r="D18" s="322"/>
      <c r="E18" s="322"/>
      <c r="F18" s="322"/>
    </row>
    <row r="19" spans="1:6">
      <c r="A19" s="1261" t="s">
        <v>9</v>
      </c>
      <c r="B19" s="1262">
        <v>3439</v>
      </c>
      <c r="C19" s="322"/>
      <c r="D19" s="322"/>
      <c r="E19" s="322"/>
      <c r="F19" s="322"/>
    </row>
    <row r="20" spans="1:6">
      <c r="A20" s="1261" t="s">
        <v>10</v>
      </c>
      <c r="B20" s="1262">
        <v>1661</v>
      </c>
      <c r="C20" s="322"/>
      <c r="D20" s="322"/>
      <c r="E20" s="322"/>
      <c r="F20" s="322"/>
    </row>
    <row r="21" spans="1:6">
      <c r="A21" s="1261" t="s">
        <v>11</v>
      </c>
      <c r="B21" s="1262">
        <v>68913</v>
      </c>
      <c r="C21" s="322"/>
      <c r="D21" s="322"/>
      <c r="E21" s="322"/>
      <c r="F21" s="322"/>
    </row>
    <row r="22" spans="1:6">
      <c r="A22" s="1261" t="s">
        <v>12</v>
      </c>
      <c r="B22" s="1262">
        <v>156601</v>
      </c>
      <c r="C22" s="322"/>
      <c r="D22" s="322"/>
      <c r="E22" s="322"/>
      <c r="F22" s="322"/>
    </row>
    <row r="23" spans="1:6">
      <c r="A23" s="1261" t="s">
        <v>13</v>
      </c>
      <c r="B23" s="1262">
        <v>2486</v>
      </c>
      <c r="C23" s="322"/>
      <c r="D23" s="322"/>
      <c r="E23" s="322"/>
      <c r="F23" s="322"/>
    </row>
    <row r="24" spans="1:6">
      <c r="A24" s="1261" t="s">
        <v>14</v>
      </c>
      <c r="B24" s="1262">
        <v>160</v>
      </c>
      <c r="C24" s="322"/>
      <c r="D24" s="322"/>
      <c r="E24" s="322"/>
      <c r="F24" s="322"/>
    </row>
    <row r="25" spans="1:6">
      <c r="A25" s="1261" t="s">
        <v>15</v>
      </c>
      <c r="B25" s="1262">
        <v>14279</v>
      </c>
      <c r="C25" s="322"/>
      <c r="D25" s="322"/>
      <c r="E25" s="322"/>
      <c r="F25" s="322"/>
    </row>
    <row r="26" spans="1:6">
      <c r="A26" s="1261" t="s">
        <v>16</v>
      </c>
      <c r="B26" s="1262">
        <v>534</v>
      </c>
      <c r="C26" s="322"/>
      <c r="D26" s="322"/>
      <c r="E26" s="322"/>
      <c r="F26" s="322"/>
    </row>
    <row r="27" spans="1:6">
      <c r="A27" s="1261" t="s">
        <v>17</v>
      </c>
      <c r="B27" s="1262">
        <v>1717</v>
      </c>
      <c r="C27" s="322"/>
      <c r="D27" s="322"/>
      <c r="E27" s="322"/>
      <c r="F27" s="322"/>
    </row>
    <row r="28" spans="1:6">
      <c r="A28" s="1261" t="s">
        <v>18</v>
      </c>
      <c r="B28" s="1263">
        <v>1236550</v>
      </c>
      <c r="C28" s="322"/>
      <c r="D28" s="322"/>
      <c r="E28" s="322"/>
      <c r="F28" s="322"/>
    </row>
    <row r="29" spans="1:6">
      <c r="A29" s="1261" t="s">
        <v>901</v>
      </c>
      <c r="B29" s="1263">
        <v>330</v>
      </c>
      <c r="C29" s="322"/>
      <c r="D29" s="322"/>
      <c r="E29" s="322"/>
      <c r="F29" s="322"/>
    </row>
    <row r="30" spans="1:6">
      <c r="A30" s="1256" t="s">
        <v>902</v>
      </c>
      <c r="B30" s="1264">
        <v>80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4</v>
      </c>
      <c r="F35" s="1262">
        <v>336029</v>
      </c>
    </row>
    <row r="36" spans="1:6">
      <c r="A36" s="1261" t="s">
        <v>24</v>
      </c>
      <c r="B36" s="1261" t="s">
        <v>26</v>
      </c>
      <c r="C36" s="1262">
        <v>0</v>
      </c>
      <c r="D36" s="1262">
        <v>0</v>
      </c>
      <c r="E36" s="1262">
        <v>4</v>
      </c>
      <c r="F36" s="1262">
        <v>411811.1</v>
      </c>
    </row>
    <row r="37" spans="1:6">
      <c r="A37" s="1261" t="s">
        <v>24</v>
      </c>
      <c r="B37" s="1261" t="s">
        <v>27</v>
      </c>
      <c r="C37" s="1262">
        <v>0</v>
      </c>
      <c r="D37" s="1262">
        <v>0</v>
      </c>
      <c r="E37" s="1262">
        <v>0</v>
      </c>
      <c r="F37" s="1262">
        <v>0</v>
      </c>
    </row>
    <row r="38" spans="1:6">
      <c r="A38" s="1261" t="s">
        <v>24</v>
      </c>
      <c r="B38" s="1261" t="s">
        <v>28</v>
      </c>
      <c r="C38" s="1262">
        <v>3</v>
      </c>
      <c r="D38" s="1262">
        <v>55495860.844845697</v>
      </c>
      <c r="E38" s="1262">
        <v>4</v>
      </c>
      <c r="F38" s="1262">
        <v>168484.4</v>
      </c>
    </row>
    <row r="39" spans="1:6">
      <c r="A39" s="1261" t="s">
        <v>29</v>
      </c>
      <c r="B39" s="1261" t="s">
        <v>30</v>
      </c>
      <c r="C39" s="1262">
        <v>5609</v>
      </c>
      <c r="D39" s="1262">
        <v>91652483.882681906</v>
      </c>
      <c r="E39" s="1262">
        <v>7924</v>
      </c>
      <c r="F39" s="1262">
        <v>34527145</v>
      </c>
    </row>
    <row r="40" spans="1:6">
      <c r="A40" s="1261" t="s">
        <v>29</v>
      </c>
      <c r="B40" s="1261" t="s">
        <v>28</v>
      </c>
      <c r="C40" s="1262">
        <v>0</v>
      </c>
      <c r="D40" s="1262">
        <v>0</v>
      </c>
      <c r="E40" s="1262">
        <v>0</v>
      </c>
      <c r="F40" s="1262">
        <v>0</v>
      </c>
    </row>
    <row r="41" spans="1:6">
      <c r="A41" s="1261" t="s">
        <v>31</v>
      </c>
      <c r="B41" s="1261" t="s">
        <v>32</v>
      </c>
      <c r="C41" s="1262">
        <v>51</v>
      </c>
      <c r="D41" s="1262">
        <v>1167874.1412192299</v>
      </c>
      <c r="E41" s="1262">
        <v>171</v>
      </c>
      <c r="F41" s="1262">
        <v>7209796</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6</v>
      </c>
      <c r="D44" s="1262">
        <v>520472.23086912499</v>
      </c>
      <c r="E44" s="1262">
        <v>10</v>
      </c>
      <c r="F44" s="1262">
        <v>901158</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6</v>
      </c>
      <c r="F47" s="1262">
        <v>2761990</v>
      </c>
    </row>
    <row r="48" spans="1:6">
      <c r="A48" s="1261" t="s">
        <v>31</v>
      </c>
      <c r="B48" s="1261" t="s">
        <v>28</v>
      </c>
      <c r="C48" s="1262">
        <v>84</v>
      </c>
      <c r="D48" s="1262">
        <v>67280610.188667998</v>
      </c>
      <c r="E48" s="1262">
        <v>119</v>
      </c>
      <c r="F48" s="1262">
        <v>82636394</v>
      </c>
    </row>
    <row r="49" spans="1:6">
      <c r="A49" s="1261" t="s">
        <v>31</v>
      </c>
      <c r="B49" s="1261" t="s">
        <v>39</v>
      </c>
      <c r="C49" s="1262">
        <v>0</v>
      </c>
      <c r="D49" s="1262">
        <v>0</v>
      </c>
      <c r="E49" s="1262">
        <v>3</v>
      </c>
      <c r="F49" s="1262">
        <v>14363.72</v>
      </c>
    </row>
    <row r="50" spans="1:6">
      <c r="A50" s="1261" t="s">
        <v>31</v>
      </c>
      <c r="B50" s="1261" t="s">
        <v>40</v>
      </c>
      <c r="C50" s="1262">
        <v>6</v>
      </c>
      <c r="D50" s="1262">
        <v>443847.45046050998</v>
      </c>
      <c r="E50" s="1262">
        <v>13</v>
      </c>
      <c r="F50" s="1262">
        <v>3469697</v>
      </c>
    </row>
    <row r="51" spans="1:6">
      <c r="A51" s="1261" t="s">
        <v>41</v>
      </c>
      <c r="B51" s="1261" t="s">
        <v>42</v>
      </c>
      <c r="C51" s="1262">
        <v>35</v>
      </c>
      <c r="D51" s="1262">
        <v>206847909.12397999</v>
      </c>
      <c r="E51" s="1262">
        <v>418</v>
      </c>
      <c r="F51" s="1262">
        <v>20033054</v>
      </c>
    </row>
    <row r="52" spans="1:6">
      <c r="A52" s="1261" t="s">
        <v>41</v>
      </c>
      <c r="B52" s="1261" t="s">
        <v>28</v>
      </c>
      <c r="C52" s="1262">
        <v>23</v>
      </c>
      <c r="D52" s="1262">
        <v>15127082.380375899</v>
      </c>
      <c r="E52" s="1262">
        <v>38</v>
      </c>
      <c r="F52" s="1262">
        <v>1136018</v>
      </c>
    </row>
    <row r="53" spans="1:6">
      <c r="A53" s="1261" t="s">
        <v>43</v>
      </c>
      <c r="B53" s="1261" t="s">
        <v>44</v>
      </c>
      <c r="C53" s="1262">
        <v>137</v>
      </c>
      <c r="D53" s="1262">
        <v>2178356.6622067099</v>
      </c>
      <c r="E53" s="1262">
        <v>314</v>
      </c>
      <c r="F53" s="1262">
        <v>1459945</v>
      </c>
    </row>
    <row r="54" spans="1:6">
      <c r="A54" s="1261" t="s">
        <v>45</v>
      </c>
      <c r="B54" s="1261" t="s">
        <v>46</v>
      </c>
      <c r="C54" s="1262">
        <v>0</v>
      </c>
      <c r="D54" s="1262">
        <v>0</v>
      </c>
      <c r="E54" s="1262">
        <v>3</v>
      </c>
      <c r="F54" s="1262">
        <v>1420894</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48</v>
      </c>
      <c r="D57" s="1262">
        <v>4363175.3522514896</v>
      </c>
      <c r="E57" s="1262">
        <v>127</v>
      </c>
      <c r="F57" s="1262">
        <v>3474208</v>
      </c>
    </row>
    <row r="58" spans="1:6">
      <c r="A58" s="1261" t="s">
        <v>48</v>
      </c>
      <c r="B58" s="1261" t="s">
        <v>50</v>
      </c>
      <c r="C58" s="1262">
        <v>20</v>
      </c>
      <c r="D58" s="1262">
        <v>559862.75769579003</v>
      </c>
      <c r="E58" s="1262">
        <v>26</v>
      </c>
      <c r="F58" s="1262">
        <v>224605.9</v>
      </c>
    </row>
    <row r="59" spans="1:6">
      <c r="A59" s="1261" t="s">
        <v>48</v>
      </c>
      <c r="B59" s="1261" t="s">
        <v>51</v>
      </c>
      <c r="C59" s="1262">
        <v>58</v>
      </c>
      <c r="D59" s="1262">
        <v>3144905.93425324</v>
      </c>
      <c r="E59" s="1262">
        <v>170</v>
      </c>
      <c r="F59" s="1262">
        <v>7803547</v>
      </c>
    </row>
    <row r="60" spans="1:6">
      <c r="A60" s="1261" t="s">
        <v>48</v>
      </c>
      <c r="B60" s="1261" t="s">
        <v>52</v>
      </c>
      <c r="C60" s="1262">
        <v>73</v>
      </c>
      <c r="D60" s="1262">
        <v>3489301.4689189899</v>
      </c>
      <c r="E60" s="1262">
        <v>106</v>
      </c>
      <c r="F60" s="1262">
        <v>2799247</v>
      </c>
    </row>
    <row r="61" spans="1:6">
      <c r="A61" s="1261" t="s">
        <v>48</v>
      </c>
      <c r="B61" s="1261" t="s">
        <v>53</v>
      </c>
      <c r="C61" s="1262">
        <v>122</v>
      </c>
      <c r="D61" s="1262">
        <v>5372655.3856872302</v>
      </c>
      <c r="E61" s="1262">
        <v>300</v>
      </c>
      <c r="F61" s="1262">
        <v>10107092</v>
      </c>
    </row>
    <row r="62" spans="1:6">
      <c r="A62" s="1261" t="s">
        <v>48</v>
      </c>
      <c r="B62" s="1261" t="s">
        <v>54</v>
      </c>
      <c r="C62" s="1262">
        <v>13</v>
      </c>
      <c r="D62" s="1262">
        <v>2983793.00635147</v>
      </c>
      <c r="E62" s="1262">
        <v>11</v>
      </c>
      <c r="F62" s="1262">
        <v>1412297</v>
      </c>
    </row>
    <row r="63" spans="1:6">
      <c r="A63" s="1261" t="s">
        <v>48</v>
      </c>
      <c r="B63" s="1261" t="s">
        <v>28</v>
      </c>
      <c r="C63" s="1262">
        <v>214</v>
      </c>
      <c r="D63" s="1262">
        <v>42728050.033580497</v>
      </c>
      <c r="E63" s="1262">
        <v>307</v>
      </c>
      <c r="F63" s="1262">
        <v>22512774</v>
      </c>
    </row>
    <row r="64" spans="1:6">
      <c r="A64" s="1261" t="s">
        <v>55</v>
      </c>
      <c r="B64" s="1261" t="s">
        <v>56</v>
      </c>
      <c r="C64" s="1262">
        <v>0</v>
      </c>
      <c r="D64" s="1262">
        <v>0</v>
      </c>
      <c r="E64" s="1262">
        <v>0</v>
      </c>
      <c r="F64" s="1262">
        <v>0</v>
      </c>
    </row>
    <row r="65" spans="1:6">
      <c r="A65" s="1261" t="s">
        <v>55</v>
      </c>
      <c r="B65" s="1261" t="s">
        <v>28</v>
      </c>
      <c r="C65" s="1262">
        <v>3</v>
      </c>
      <c r="D65" s="1262">
        <v>57753.264019772003</v>
      </c>
      <c r="E65" s="1262">
        <v>7</v>
      </c>
      <c r="F65" s="1262">
        <v>91468.37</v>
      </c>
    </row>
    <row r="66" spans="1:6">
      <c r="A66" s="1261" t="s">
        <v>55</v>
      </c>
      <c r="B66" s="1261" t="s">
        <v>57</v>
      </c>
      <c r="C66" s="1262">
        <v>0</v>
      </c>
      <c r="D66" s="1262">
        <v>0</v>
      </c>
      <c r="E66" s="1262">
        <v>15</v>
      </c>
      <c r="F66" s="1262">
        <v>664856</v>
      </c>
    </row>
    <row r="67" spans="1:6">
      <c r="A67" s="1261" t="s">
        <v>55</v>
      </c>
      <c r="B67" s="1261" t="s">
        <v>58</v>
      </c>
      <c r="C67" s="1262">
        <v>0</v>
      </c>
      <c r="D67" s="1262">
        <v>0</v>
      </c>
      <c r="E67" s="1262">
        <v>0</v>
      </c>
      <c r="F67" s="1262">
        <v>0</v>
      </c>
    </row>
    <row r="68" spans="1:6">
      <c r="A68" s="1256" t="s">
        <v>55</v>
      </c>
      <c r="B68" s="1256" t="s">
        <v>59</v>
      </c>
      <c r="C68" s="1264">
        <v>7</v>
      </c>
      <c r="D68" s="1264">
        <v>117399.45959046199</v>
      </c>
      <c r="E68" s="1264">
        <v>23</v>
      </c>
      <c r="F68" s="1264">
        <v>964205.8</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81833586</v>
      </c>
      <c r="E73" s="440"/>
      <c r="F73" s="322"/>
    </row>
    <row r="74" spans="1:6">
      <c r="A74" s="1261" t="s">
        <v>63</v>
      </c>
      <c r="B74" s="1261" t="s">
        <v>670</v>
      </c>
      <c r="C74" s="1274" t="s">
        <v>672</v>
      </c>
      <c r="D74" s="1262">
        <v>9335896.7174501568</v>
      </c>
      <c r="E74" s="440"/>
      <c r="F74" s="322"/>
    </row>
    <row r="75" spans="1:6">
      <c r="A75" s="1261" t="s">
        <v>64</v>
      </c>
      <c r="B75" s="1261" t="s">
        <v>669</v>
      </c>
      <c r="C75" s="1274" t="s">
        <v>673</v>
      </c>
      <c r="D75" s="1262">
        <v>39394803</v>
      </c>
      <c r="E75" s="440"/>
      <c r="F75" s="322"/>
    </row>
    <row r="76" spans="1:6">
      <c r="A76" s="1261" t="s">
        <v>64</v>
      </c>
      <c r="B76" s="1261" t="s">
        <v>670</v>
      </c>
      <c r="C76" s="1274" t="s">
        <v>674</v>
      </c>
      <c r="D76" s="1262">
        <v>521823.71745015762</v>
      </c>
      <c r="E76" s="440"/>
      <c r="F76" s="322"/>
    </row>
    <row r="77" spans="1:6">
      <c r="A77" s="1261" t="s">
        <v>65</v>
      </c>
      <c r="B77" s="1261" t="s">
        <v>669</v>
      </c>
      <c r="C77" s="1274" t="s">
        <v>675</v>
      </c>
      <c r="D77" s="1262">
        <v>137731077</v>
      </c>
      <c r="E77" s="440"/>
      <c r="F77" s="322"/>
    </row>
    <row r="78" spans="1:6">
      <c r="A78" s="1256" t="s">
        <v>65</v>
      </c>
      <c r="B78" s="1256" t="s">
        <v>670</v>
      </c>
      <c r="C78" s="1256" t="s">
        <v>676</v>
      </c>
      <c r="D78" s="1264">
        <v>37788128</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496758.56509968475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21023.287535619096</v>
      </c>
      <c r="C90" s="322"/>
      <c r="D90" s="322"/>
      <c r="E90" s="322"/>
      <c r="F90" s="322"/>
    </row>
    <row r="91" spans="1:6">
      <c r="A91" s="1261" t="s">
        <v>67</v>
      </c>
      <c r="B91" s="1262">
        <v>4554.2241825870897</v>
      </c>
      <c r="C91" s="322"/>
      <c r="D91" s="322"/>
      <c r="E91" s="322"/>
      <c r="F91" s="322"/>
    </row>
    <row r="92" spans="1:6">
      <c r="A92" s="1256" t="s">
        <v>68</v>
      </c>
      <c r="B92" s="1257">
        <v>3983.4988198698379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2912</v>
      </c>
      <c r="C97" s="322"/>
      <c r="D97" s="322"/>
      <c r="E97" s="322"/>
      <c r="F97" s="322"/>
    </row>
    <row r="98" spans="1:6">
      <c r="A98" s="1261" t="s">
        <v>71</v>
      </c>
      <c r="B98" s="1262">
        <v>9</v>
      </c>
      <c r="C98" s="322"/>
      <c r="D98" s="322"/>
      <c r="E98" s="322"/>
      <c r="F98" s="322"/>
    </row>
    <row r="99" spans="1:6">
      <c r="A99" s="1261" t="s">
        <v>72</v>
      </c>
      <c r="B99" s="1262">
        <v>149</v>
      </c>
      <c r="C99" s="322"/>
      <c r="D99" s="322"/>
      <c r="E99" s="322"/>
      <c r="F99" s="322"/>
    </row>
    <row r="100" spans="1:6">
      <c r="A100" s="1261" t="s">
        <v>73</v>
      </c>
      <c r="B100" s="1262">
        <v>429</v>
      </c>
      <c r="C100" s="322"/>
      <c r="D100" s="322"/>
      <c r="E100" s="322"/>
      <c r="F100" s="322"/>
    </row>
    <row r="101" spans="1:6">
      <c r="A101" s="1261" t="s">
        <v>74</v>
      </c>
      <c r="B101" s="1262">
        <v>128</v>
      </c>
      <c r="C101" s="322"/>
      <c r="D101" s="322"/>
      <c r="E101" s="322"/>
      <c r="F101" s="322"/>
    </row>
    <row r="102" spans="1:6">
      <c r="A102" s="1261" t="s">
        <v>75</v>
      </c>
      <c r="B102" s="1262">
        <v>67</v>
      </c>
      <c r="C102" s="322"/>
      <c r="D102" s="322"/>
      <c r="E102" s="322"/>
      <c r="F102" s="322"/>
    </row>
    <row r="103" spans="1:6">
      <c r="A103" s="1261" t="s">
        <v>76</v>
      </c>
      <c r="B103" s="1262">
        <v>104</v>
      </c>
      <c r="C103" s="322"/>
      <c r="D103" s="322"/>
      <c r="E103" s="322"/>
      <c r="F103" s="322"/>
    </row>
    <row r="104" spans="1:6">
      <c r="A104" s="1261" t="s">
        <v>77</v>
      </c>
      <c r="B104" s="1262">
        <v>2695</v>
      </c>
      <c r="C104" s="322"/>
      <c r="D104" s="322"/>
      <c r="E104" s="322"/>
      <c r="F104" s="322"/>
    </row>
    <row r="105" spans="1:6">
      <c r="A105" s="1256" t="s">
        <v>78</v>
      </c>
      <c r="B105" s="1264">
        <v>7</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2</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38</v>
      </c>
      <c r="C123" s="1262">
        <v>26</v>
      </c>
      <c r="D123" s="322"/>
      <c r="E123" s="322"/>
      <c r="F123" s="322"/>
    </row>
    <row r="124" spans="1:6">
      <c r="A124" s="1261" t="s">
        <v>88</v>
      </c>
      <c r="B124" s="1262">
        <v>1</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232</v>
      </c>
      <c r="C129" s="322"/>
      <c r="D129" s="322"/>
      <c r="E129" s="322"/>
      <c r="F129" s="322"/>
    </row>
    <row r="130" spans="1:6">
      <c r="A130" s="1261" t="s">
        <v>284</v>
      </c>
      <c r="B130" s="1262">
        <v>3</v>
      </c>
      <c r="C130" s="322"/>
      <c r="D130" s="322"/>
      <c r="E130" s="322"/>
      <c r="F130" s="322"/>
    </row>
    <row r="131" spans="1:6">
      <c r="A131" s="1261" t="s">
        <v>285</v>
      </c>
      <c r="B131" s="1262">
        <v>4</v>
      </c>
      <c r="C131" s="322"/>
      <c r="D131" s="322"/>
      <c r="E131" s="322"/>
      <c r="F131" s="322"/>
    </row>
    <row r="132" spans="1:6">
      <c r="A132" s="1256" t="s">
        <v>286</v>
      </c>
      <c r="B132" s="1257">
        <v>28</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219397.26460168883</v>
      </c>
      <c r="C3" s="43" t="s">
        <v>163</v>
      </c>
      <c r="D3" s="43"/>
      <c r="E3" s="153"/>
      <c r="F3" s="43"/>
      <c r="G3" s="43"/>
      <c r="H3" s="43"/>
      <c r="I3" s="43"/>
      <c r="J3" s="43"/>
      <c r="K3" s="96"/>
    </row>
    <row r="4" spans="1:11">
      <c r="A4" s="349" t="s">
        <v>164</v>
      </c>
      <c r="B4" s="49">
        <f>IF(ISERROR('SEAP template'!B78+'SEAP template'!C78),0,'SEAP template'!B78+'SEAP template'!C78)</f>
        <v>131535.960538076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23360.392042281717</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0.19497845753912313</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33108.153672004009</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142626.21428571429</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0.23213231759542105</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1420.894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1420.894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0.19497845753912313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277.04372044659482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34527.144999999997</v>
      </c>
      <c r="C5" s="17">
        <f>IF(ISERROR('Eigen informatie GS &amp; warmtenet'!B57),0,'Eigen informatie GS &amp; warmtenet'!B57)</f>
        <v>0</v>
      </c>
      <c r="D5" s="30">
        <f>(SUM(HH_hh_gas_kWh,HH_rest_gas_kWh)/1000)*0.902</f>
        <v>82670.54046217908</v>
      </c>
      <c r="E5" s="17">
        <f>B32*B41</f>
        <v>1437.2319228963272</v>
      </c>
      <c r="F5" s="17">
        <f>B36*B45</f>
        <v>45340.183283629689</v>
      </c>
      <c r="G5" s="18"/>
      <c r="H5" s="17"/>
      <c r="I5" s="17"/>
      <c r="J5" s="17">
        <f>B35*B44+C35*C44</f>
        <v>1057.3313613847747</v>
      </c>
      <c r="K5" s="17"/>
      <c r="L5" s="17"/>
      <c r="M5" s="17"/>
      <c r="N5" s="17">
        <f>B34*B43+C34*C43</f>
        <v>9349.8562123151969</v>
      </c>
      <c r="O5" s="17">
        <f>B52*B53*B54</f>
        <v>404.90333333333331</v>
      </c>
      <c r="P5" s="17">
        <f>B60*B61*B62/1000-B60*B61*B62/1000/B63</f>
        <v>1277.4666666666667</v>
      </c>
    </row>
    <row r="6" spans="1:16">
      <c r="A6" s="16" t="s">
        <v>593</v>
      </c>
      <c r="B6" s="717">
        <f>kWh_PV_kleiner_dan_10kW</f>
        <v>4554.2241825870897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39081.369182587085</v>
      </c>
      <c r="C8" s="21">
        <f>C5</f>
        <v>0</v>
      </c>
      <c r="D8" s="21">
        <f>D5</f>
        <v>82670.54046217908</v>
      </c>
      <c r="E8" s="21">
        <f>E5</f>
        <v>1437.2319228963272</v>
      </c>
      <c r="F8" s="21">
        <f>F5</f>
        <v>45340.183283629689</v>
      </c>
      <c r="G8" s="21"/>
      <c r="H8" s="21"/>
      <c r="I8" s="21"/>
      <c r="J8" s="21">
        <f>J5</f>
        <v>1057.3313613847747</v>
      </c>
      <c r="K8" s="21"/>
      <c r="L8" s="21">
        <f>L5</f>
        <v>0</v>
      </c>
      <c r="M8" s="21">
        <f>M5</f>
        <v>0</v>
      </c>
      <c r="N8" s="21">
        <f>N5</f>
        <v>9349.8562123151969</v>
      </c>
      <c r="O8" s="21">
        <f>O5</f>
        <v>404.90333333333331</v>
      </c>
      <c r="P8" s="21">
        <f>P5</f>
        <v>1277.4666666666667</v>
      </c>
    </row>
    <row r="9" spans="1:16">
      <c r="B9" s="19"/>
      <c r="C9" s="19"/>
      <c r="D9" s="253"/>
      <c r="E9" s="19"/>
      <c r="F9" s="19"/>
      <c r="G9" s="19"/>
      <c r="H9" s="19"/>
      <c r="I9" s="19"/>
      <c r="J9" s="19"/>
      <c r="K9" s="19"/>
      <c r="L9" s="19"/>
      <c r="M9" s="19"/>
      <c r="N9" s="19"/>
      <c r="O9" s="19"/>
      <c r="P9" s="19"/>
    </row>
    <row r="10" spans="1:16">
      <c r="A10" s="24" t="s">
        <v>207</v>
      </c>
      <c r="B10" s="25">
        <f ca="1">'EF ele_warmte'!B12</f>
        <v>0.19497845753912313</v>
      </c>
      <c r="C10" s="25">
        <f ca="1">'EF ele_warmte'!B22</f>
        <v>0.23213231759542105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7620.025081737851</v>
      </c>
      <c r="C12" s="23">
        <f ca="1">C10*C8</f>
        <v>0</v>
      </c>
      <c r="D12" s="23">
        <f>D8*D10</f>
        <v>16699.449173360175</v>
      </c>
      <c r="E12" s="23">
        <f>E10*E8</f>
        <v>326.25164649746631</v>
      </c>
      <c r="F12" s="23">
        <f>F10*F8</f>
        <v>12105.828936729127</v>
      </c>
      <c r="G12" s="23"/>
      <c r="H12" s="23"/>
      <c r="I12" s="23"/>
      <c r="J12" s="23">
        <f>J10*J8</f>
        <v>374.2953019302102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8251</v>
      </c>
      <c r="C26" s="36"/>
      <c r="D26" s="224"/>
    </row>
    <row r="27" spans="1:5" s="15" customFormat="1">
      <c r="A27" s="226" t="s">
        <v>696</v>
      </c>
      <c r="B27" s="37">
        <f>SUM(HH_hh_gas_aantal,HH_rest_gas_aantal)</f>
        <v>5609</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5328.55</v>
      </c>
      <c r="C31" s="34" t="s">
        <v>104</v>
      </c>
      <c r="D31" s="170"/>
    </row>
    <row r="32" spans="1:5">
      <c r="A32" s="167" t="s">
        <v>72</v>
      </c>
      <c r="B32" s="33">
        <f>IF((B21*($B$26-($B$27-0.05*$B$27)-$B$60))&lt;0,0,B21*($B$26-($B$27-0.05*$B$27)-$B$60))</f>
        <v>18.004241732823747</v>
      </c>
      <c r="C32" s="34" t="s">
        <v>104</v>
      </c>
      <c r="D32" s="170"/>
    </row>
    <row r="33" spans="1:6">
      <c r="A33" s="167" t="s">
        <v>73</v>
      </c>
      <c r="B33" s="33">
        <f>IF((B22*($B$26-($B$27-0.05*$B$27)-$B$60))&lt;0,0,B22*($B$26-($B$27-0.05*$B$27)-$B$60))</f>
        <v>626.97310140694083</v>
      </c>
      <c r="C33" s="34" t="s">
        <v>104</v>
      </c>
      <c r="D33" s="170"/>
    </row>
    <row r="34" spans="1:6">
      <c r="A34" s="167" t="s">
        <v>74</v>
      </c>
      <c r="B34" s="33">
        <f>IF((B24*($B$26-($B$27-0.05*$B$27)-$B$60))&lt;0,0,B24*($B$26-($B$27-0.05*$B$27)-$B$60))</f>
        <v>124.45138694687243</v>
      </c>
      <c r="C34" s="33">
        <f>B26*C24</f>
        <v>1688.1519796845409</v>
      </c>
      <c r="D34" s="229"/>
    </row>
    <row r="35" spans="1:6">
      <c r="A35" s="167" t="s">
        <v>76</v>
      </c>
      <c r="B35" s="33">
        <f>IF((B19*($B$26-($B$27-0.05*$B$27)-$B$60))&lt;0,0,B19*($B$26-($B$27-0.05*$B$27)-$B$60))</f>
        <v>60.801580021460225</v>
      </c>
      <c r="C35" s="33">
        <f>B35/2</f>
        <v>30.400790010730113</v>
      </c>
      <c r="D35" s="229"/>
    </row>
    <row r="36" spans="1:6">
      <c r="A36" s="167" t="s">
        <v>77</v>
      </c>
      <c r="B36" s="33">
        <f>IF((B18*($B$26-($B$27-0.05*$B$27)-$B$60))&lt;0,0,B18*($B$26-($B$27-0.05*$B$27)-$B$60))</f>
        <v>2025.2196898919035</v>
      </c>
      <c r="C36" s="34" t="s">
        <v>104</v>
      </c>
      <c r="D36" s="170"/>
    </row>
    <row r="37" spans="1:6">
      <c r="A37" s="167" t="s">
        <v>78</v>
      </c>
      <c r="B37" s="33">
        <f>B60</f>
        <v>67</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259</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67</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48333.770899999996</v>
      </c>
      <c r="C5" s="17">
        <f>IF(ISERROR('Eigen informatie GS &amp; warmtenet'!B58),0,'Eigen informatie GS &amp; warmtenet'!B58)</f>
        <v>0</v>
      </c>
      <c r="D5" s="30">
        <f>SUM(D6:D12)</f>
        <v>56502.853032742314</v>
      </c>
      <c r="E5" s="17">
        <f>SUM(E6:E12)</f>
        <v>693.77469835863462</v>
      </c>
      <c r="F5" s="17">
        <f>SUM(F6:F12)</f>
        <v>11266.9020870616</v>
      </c>
      <c r="G5" s="18"/>
      <c r="H5" s="17"/>
      <c r="I5" s="17"/>
      <c r="J5" s="17">
        <f>SUM(J6:J12)</f>
        <v>0</v>
      </c>
      <c r="K5" s="17"/>
      <c r="L5" s="17"/>
      <c r="M5" s="17"/>
      <c r="N5" s="17">
        <f>SUM(N6:N12)</f>
        <v>3420.5464521968861</v>
      </c>
      <c r="O5" s="17">
        <f>B38*B39*B40</f>
        <v>4.6900000000000004</v>
      </c>
      <c r="P5" s="17">
        <f>B46*B47*B48/1000-B46*B47*B48/1000/B49</f>
        <v>76.266666666666666</v>
      </c>
      <c r="R5" s="32"/>
    </row>
    <row r="6" spans="1:18">
      <c r="A6" s="32" t="s">
        <v>53</v>
      </c>
      <c r="B6" s="37">
        <f>B26</f>
        <v>10107.092000000001</v>
      </c>
      <c r="C6" s="33"/>
      <c r="D6" s="37">
        <f>IF(ISERROR(TER_kantoor_gas_kWh/1000),0,TER_kantoor_gas_kWh/1000)*0.902</f>
        <v>4846.1351578898821</v>
      </c>
      <c r="E6" s="33">
        <f>$C$26*'E Balans VL '!I12/100/3.6*1000000</f>
        <v>0.14174175966985139</v>
      </c>
      <c r="F6" s="33">
        <f>$C$26*('E Balans VL '!L12+'E Balans VL '!N12)/100/3.6*1000000</f>
        <v>1404.8692032628262</v>
      </c>
      <c r="G6" s="34"/>
      <c r="H6" s="33"/>
      <c r="I6" s="33"/>
      <c r="J6" s="33">
        <f>$C$26*('E Balans VL '!D12+'E Balans VL '!E12)/100/3.6*1000000</f>
        <v>0</v>
      </c>
      <c r="K6" s="33"/>
      <c r="L6" s="33"/>
      <c r="M6" s="33"/>
      <c r="N6" s="33">
        <f>$C$26*'E Balans VL '!Y12/100/3.6*1000000</f>
        <v>125.09328224113422</v>
      </c>
      <c r="O6" s="33"/>
      <c r="P6" s="33"/>
      <c r="R6" s="32"/>
    </row>
    <row r="7" spans="1:18">
      <c r="A7" s="32" t="s">
        <v>52</v>
      </c>
      <c r="B7" s="37">
        <f t="shared" ref="B7:B12" si="0">B27</f>
        <v>2799.2469999999998</v>
      </c>
      <c r="C7" s="33"/>
      <c r="D7" s="37">
        <f>IF(ISERROR(TER_horeca_gas_kWh/1000),0,TER_horeca_gas_kWh/1000)*0.902</f>
        <v>3147.349924964929</v>
      </c>
      <c r="E7" s="33">
        <f>$C$27*'E Balans VL '!I9/100/3.6*1000000</f>
        <v>39.957123466997054</v>
      </c>
      <c r="F7" s="33">
        <f>$C$27*('E Balans VL '!L9+'E Balans VL '!N9)/100/3.6*1000000</f>
        <v>435.17035037915798</v>
      </c>
      <c r="G7" s="34"/>
      <c r="H7" s="33"/>
      <c r="I7" s="33"/>
      <c r="J7" s="33">
        <f>$C$27*('E Balans VL '!D9+'E Balans VL '!E9)/100/3.6*1000000</f>
        <v>0</v>
      </c>
      <c r="K7" s="33"/>
      <c r="L7" s="33"/>
      <c r="M7" s="33"/>
      <c r="N7" s="33">
        <f>$C$27*'E Balans VL '!Y9/100/3.6*1000000</f>
        <v>0.72132190808698859</v>
      </c>
      <c r="O7" s="33"/>
      <c r="P7" s="33"/>
      <c r="R7" s="32"/>
    </row>
    <row r="8" spans="1:18">
      <c r="A8" s="6" t="s">
        <v>51</v>
      </c>
      <c r="B8" s="37">
        <f t="shared" si="0"/>
        <v>7803.5469999999996</v>
      </c>
      <c r="C8" s="33"/>
      <c r="D8" s="37">
        <f>IF(ISERROR(TER_handel_gas_kWh/1000),0,TER_handel_gas_kWh/1000)*0.902</f>
        <v>2836.7051526964224</v>
      </c>
      <c r="E8" s="33">
        <f>$C$28*'E Balans VL '!I13/100/3.6*1000000</f>
        <v>211.20481066254149</v>
      </c>
      <c r="F8" s="33">
        <f>$C$28*('E Balans VL '!L13+'E Balans VL '!N13)/100/3.6*1000000</f>
        <v>1211.745437889417</v>
      </c>
      <c r="G8" s="34"/>
      <c r="H8" s="33"/>
      <c r="I8" s="33"/>
      <c r="J8" s="33">
        <f>$C$28*('E Balans VL '!D13+'E Balans VL '!E13)/100/3.6*1000000</f>
        <v>0</v>
      </c>
      <c r="K8" s="33"/>
      <c r="L8" s="33"/>
      <c r="M8" s="33"/>
      <c r="N8" s="33">
        <f>$C$28*'E Balans VL '!Y13/100/3.6*1000000</f>
        <v>63.229639775948037</v>
      </c>
      <c r="O8" s="33"/>
      <c r="P8" s="33"/>
      <c r="R8" s="32"/>
    </row>
    <row r="9" spans="1:18">
      <c r="A9" s="32" t="s">
        <v>50</v>
      </c>
      <c r="B9" s="37">
        <f t="shared" si="0"/>
        <v>224.60589999999999</v>
      </c>
      <c r="C9" s="33"/>
      <c r="D9" s="37">
        <f>IF(ISERROR(TER_gezond_gas_kWh/1000),0,TER_gezond_gas_kWh/1000)*0.902</f>
        <v>504.99620744160262</v>
      </c>
      <c r="E9" s="33">
        <f>$C$29*'E Balans VL '!I10/100/3.6*1000000</f>
        <v>1.4015291404201201E-2</v>
      </c>
      <c r="F9" s="33">
        <f>$C$29*('E Balans VL '!L10+'E Balans VL '!N10)/100/3.6*1000000</f>
        <v>29.077372306673269</v>
      </c>
      <c r="G9" s="34"/>
      <c r="H9" s="33"/>
      <c r="I9" s="33"/>
      <c r="J9" s="33">
        <f>$C$29*('E Balans VL '!D10+'E Balans VL '!E10)/100/3.6*1000000</f>
        <v>0</v>
      </c>
      <c r="K9" s="33"/>
      <c r="L9" s="33"/>
      <c r="M9" s="33"/>
      <c r="N9" s="33">
        <f>$C$29*'E Balans VL '!Y10/100/3.6*1000000</f>
        <v>1.8415488960734987</v>
      </c>
      <c r="O9" s="33"/>
      <c r="P9" s="33"/>
      <c r="R9" s="32"/>
    </row>
    <row r="10" spans="1:18">
      <c r="A10" s="32" t="s">
        <v>49</v>
      </c>
      <c r="B10" s="37">
        <f t="shared" si="0"/>
        <v>3474.2080000000001</v>
      </c>
      <c r="C10" s="33"/>
      <c r="D10" s="37">
        <f>IF(ISERROR(TER_ander_gas_kWh/1000),0,TER_ander_gas_kWh/1000)*0.902</f>
        <v>3935.584167730844</v>
      </c>
      <c r="E10" s="33">
        <f>$C$30*'E Balans VL '!I14/100/3.6*1000000</f>
        <v>104.88471755517705</v>
      </c>
      <c r="F10" s="33">
        <f>$C$30*('E Balans VL '!L14+'E Balans VL '!N14)/100/3.6*1000000</f>
        <v>2199.6873991055227</v>
      </c>
      <c r="G10" s="34"/>
      <c r="H10" s="33"/>
      <c r="I10" s="33"/>
      <c r="J10" s="33">
        <f>$C$30*('E Balans VL '!D14+'E Balans VL '!E14)/100/3.6*1000000</f>
        <v>0</v>
      </c>
      <c r="K10" s="33"/>
      <c r="L10" s="33"/>
      <c r="M10" s="33"/>
      <c r="N10" s="33">
        <f>$C$30*'E Balans VL '!Y14/100/3.6*1000000</f>
        <v>1406.2299322528459</v>
      </c>
      <c r="O10" s="33"/>
      <c r="P10" s="33"/>
      <c r="R10" s="32"/>
    </row>
    <row r="11" spans="1:18">
      <c r="A11" s="32" t="s">
        <v>54</v>
      </c>
      <c r="B11" s="37">
        <f t="shared" si="0"/>
        <v>1412.297</v>
      </c>
      <c r="C11" s="33"/>
      <c r="D11" s="37">
        <f>IF(ISERROR(TER_onderwijs_gas_kWh/1000),0,TER_onderwijs_gas_kWh/1000)*0.902</f>
        <v>2691.3812917290261</v>
      </c>
      <c r="E11" s="33">
        <f>$C$31*'E Balans VL '!I11/100/3.6*1000000</f>
        <v>1.7786108551241</v>
      </c>
      <c r="F11" s="33">
        <f>$C$31*('E Balans VL '!L11+'E Balans VL '!N11)/100/3.6*1000000</f>
        <v>524.60410616844877</v>
      </c>
      <c r="G11" s="34"/>
      <c r="H11" s="33"/>
      <c r="I11" s="33"/>
      <c r="J11" s="33">
        <f>$C$31*('E Balans VL '!D11+'E Balans VL '!E11)/100/3.6*1000000</f>
        <v>0</v>
      </c>
      <c r="K11" s="33"/>
      <c r="L11" s="33"/>
      <c r="M11" s="33"/>
      <c r="N11" s="33">
        <f>$C$31*'E Balans VL '!Y11/100/3.6*1000000</f>
        <v>1.7884139944294812</v>
      </c>
      <c r="O11" s="33"/>
      <c r="P11" s="33"/>
      <c r="R11" s="32"/>
    </row>
    <row r="12" spans="1:18">
      <c r="A12" s="32" t="s">
        <v>249</v>
      </c>
      <c r="B12" s="37">
        <f t="shared" si="0"/>
        <v>22512.774000000001</v>
      </c>
      <c r="C12" s="33"/>
      <c r="D12" s="37">
        <f>IF(ISERROR(TER_rest_gas_kWh/1000),0,TER_rest_gas_kWh/1000)*0.902</f>
        <v>38540.701130289606</v>
      </c>
      <c r="E12" s="33">
        <f>$C$32*'E Balans VL '!I8/100/3.6*1000000</f>
        <v>335.79367876772085</v>
      </c>
      <c r="F12" s="33">
        <f>$C$32*('E Balans VL '!L8+'E Balans VL '!N8)/100/3.6*1000000</f>
        <v>5461.7482179495555</v>
      </c>
      <c r="G12" s="34"/>
      <c r="H12" s="33"/>
      <c r="I12" s="33"/>
      <c r="J12" s="33">
        <f>$C$32*('E Balans VL '!D8+'E Balans VL '!E8)/100/3.6*1000000</f>
        <v>0</v>
      </c>
      <c r="K12" s="33"/>
      <c r="L12" s="33"/>
      <c r="M12" s="33"/>
      <c r="N12" s="33">
        <f>$C$32*'E Balans VL '!Y8/100/3.6*1000000</f>
        <v>1821.6423131283682</v>
      </c>
      <c r="O12" s="33"/>
      <c r="P12" s="33"/>
      <c r="R12" s="32"/>
    </row>
    <row r="13" spans="1:18">
      <c r="A13" s="16" t="s">
        <v>480</v>
      </c>
      <c r="B13" s="242">
        <f ca="1">'lokale energieproductie'!N52+'lokale energieproductie'!N45</f>
        <v>10341</v>
      </c>
      <c r="C13" s="242">
        <f ca="1">'lokale energieproductie'!O52+'lokale energieproductie'!O45</f>
        <v>12857.142857142857</v>
      </c>
      <c r="D13" s="300">
        <f ca="1">('lokale energieproductie'!P45+'lokale energieproductie'!P52)*(-1)</f>
        <v>-25714.285714285717</v>
      </c>
      <c r="E13" s="243"/>
      <c r="F13" s="300">
        <f ca="1">('lokale energieproductie'!S45+'lokale energieproductie'!S52)*(-1)</f>
        <v>0</v>
      </c>
      <c r="G13" s="244"/>
      <c r="H13" s="243"/>
      <c r="I13" s="243"/>
      <c r="J13" s="243"/>
      <c r="K13" s="243"/>
      <c r="L13" s="300">
        <f ca="1">('lokale energieproductie'!U45+'lokale energieproductie'!T45+'lokale energieproductie'!U52+'lokale energieproductie'!T52)*(-1)</f>
        <v>0</v>
      </c>
      <c r="M13" s="243"/>
      <c r="N13" s="300">
        <f ca="1">('lokale energieproductie'!Q45+'lokale energieproductie'!R45+'lokale energieproductie'!V45+'lokale energieproductie'!Q52+'lokale energieproductie'!R52+'lokale energieproductie'!V52)*(-1)</f>
        <v>-3831.4285714285716</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58674.770899999996</v>
      </c>
      <c r="C16" s="21">
        <f t="shared" ca="1" si="1"/>
        <v>12857.142857142857</v>
      </c>
      <c r="D16" s="21">
        <f t="shared" ca="1" si="1"/>
        <v>30788.567318456597</v>
      </c>
      <c r="E16" s="21">
        <f t="shared" si="1"/>
        <v>693.77469835863462</v>
      </c>
      <c r="F16" s="21">
        <f t="shared" ca="1" si="1"/>
        <v>11266.9020870616</v>
      </c>
      <c r="G16" s="21">
        <f t="shared" si="1"/>
        <v>0</v>
      </c>
      <c r="H16" s="21">
        <f t="shared" si="1"/>
        <v>0</v>
      </c>
      <c r="I16" s="21">
        <f t="shared" si="1"/>
        <v>0</v>
      </c>
      <c r="J16" s="21">
        <f t="shared" si="1"/>
        <v>0</v>
      </c>
      <c r="K16" s="21">
        <f t="shared" si="1"/>
        <v>0</v>
      </c>
      <c r="L16" s="21">
        <f t="shared" ca="1" si="1"/>
        <v>0</v>
      </c>
      <c r="M16" s="21">
        <f t="shared" si="1"/>
        <v>0</v>
      </c>
      <c r="N16" s="21">
        <f t="shared" ca="1" si="1"/>
        <v>0</v>
      </c>
      <c r="O16" s="21">
        <f>O5</f>
        <v>4.6900000000000004</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0.19497845753912313</v>
      </c>
      <c r="C18" s="25">
        <f ca="1">'EF ele_warmte'!B22</f>
        <v>0.23213231759542105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11440.316326543427</v>
      </c>
      <c r="C20" s="23">
        <f t="shared" ref="C20:P20" ca="1" si="2">C16*C18</f>
        <v>2984.5583690839849</v>
      </c>
      <c r="D20" s="23">
        <f t="shared" ca="1" si="2"/>
        <v>6219.2905983282326</v>
      </c>
      <c r="E20" s="23">
        <f t="shared" si="2"/>
        <v>157.48685652741005</v>
      </c>
      <c r="F20" s="23">
        <f t="shared" ca="1" si="2"/>
        <v>3008.2628572454473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10107.092000000001</v>
      </c>
      <c r="C26" s="39">
        <f>IF(ISERROR(B26*3.6/1000000/'E Balans VL '!Z12*100),0,B26*3.6/1000000/'E Balans VL '!Z12*100)</f>
        <v>0.27452755721065047</v>
      </c>
      <c r="D26" s="232" t="s">
        <v>651</v>
      </c>
      <c r="F26" s="6"/>
    </row>
    <row r="27" spans="1:18">
      <c r="A27" s="227" t="s">
        <v>52</v>
      </c>
      <c r="B27" s="33">
        <f>IF(ISERROR(TER_horeca_ele_kWh/1000),0,TER_horeca_ele_kWh/1000)</f>
        <v>2799.2469999999998</v>
      </c>
      <c r="C27" s="39">
        <f>IF(ISERROR(B27*3.6/1000000/'E Balans VL '!Z9*100),0,B27*3.6/1000000/'E Balans VL '!Z9*100)</f>
        <v>0.22494129887278375</v>
      </c>
      <c r="D27" s="232" t="s">
        <v>651</v>
      </c>
      <c r="F27" s="6"/>
    </row>
    <row r="28" spans="1:18">
      <c r="A28" s="167" t="s">
        <v>51</v>
      </c>
      <c r="B28" s="33">
        <f>IF(ISERROR(TER_handel_ele_kWh/1000),0,TER_handel_ele_kWh/1000)</f>
        <v>7803.5469999999996</v>
      </c>
      <c r="C28" s="39">
        <f>IF(ISERROR(B28*3.6/1000000/'E Balans VL '!Z13*100),0,B28*3.6/1000000/'E Balans VL '!Z13*100)</f>
        <v>0.23047875867030959</v>
      </c>
      <c r="D28" s="232" t="s">
        <v>651</v>
      </c>
      <c r="F28" s="6"/>
    </row>
    <row r="29" spans="1:18">
      <c r="A29" s="227" t="s">
        <v>50</v>
      </c>
      <c r="B29" s="33">
        <f>IF(ISERROR(TER_gezond_ele_kWh/1000),0,TER_gezond_ele_kWh/1000)</f>
        <v>224.60589999999999</v>
      </c>
      <c r="C29" s="39">
        <f>IF(ISERROR(B29*3.6/1000000/'E Balans VL '!Z10*100),0,B29*3.6/1000000/'E Balans VL '!Z10*100)</f>
        <v>2.568727672479356E-2</v>
      </c>
      <c r="D29" s="232" t="s">
        <v>651</v>
      </c>
      <c r="F29" s="6"/>
    </row>
    <row r="30" spans="1:18">
      <c r="A30" s="227" t="s">
        <v>49</v>
      </c>
      <c r="B30" s="33">
        <f>IF(ISERROR(TER_ander_ele_kWh/1000),0,TER_ander_ele_kWh/1000)</f>
        <v>3474.2080000000001</v>
      </c>
      <c r="C30" s="39">
        <f>IF(ISERROR(B30*3.6/1000000/'E Balans VL '!Z14*100),0,B30*3.6/1000000/'E Balans VL '!Z14*100)</f>
        <v>0.16235697874179347</v>
      </c>
      <c r="D30" s="232" t="s">
        <v>651</v>
      </c>
      <c r="F30" s="6"/>
    </row>
    <row r="31" spans="1:18">
      <c r="A31" s="227" t="s">
        <v>54</v>
      </c>
      <c r="B31" s="33">
        <f>IF(ISERROR(TER_onderwijs_ele_kWh/1000),0,TER_onderwijs_ele_kWh/1000)</f>
        <v>1412.297</v>
      </c>
      <c r="C31" s="39">
        <f>IF(ISERROR(B31*3.6/1000000/'E Balans VL '!Z11*100),0,B31*3.6/1000000/'E Balans VL '!Z11*100)</f>
        <v>0.37294323839489441</v>
      </c>
      <c r="D31" s="232" t="s">
        <v>651</v>
      </c>
    </row>
    <row r="32" spans="1:18">
      <c r="A32" s="227" t="s">
        <v>249</v>
      </c>
      <c r="B32" s="33">
        <f>IF(ISERROR(TER_rest_ele_kWh/1000),0,TER_rest_ele_kWh/1000)</f>
        <v>22512.774000000001</v>
      </c>
      <c r="C32" s="39">
        <f>IF(ISERROR(B32*3.6/1000000/'E Balans VL '!Z8*100),0,B32*3.6/1000000/'E Balans VL '!Z8*100)</f>
        <v>0.19233801008768378</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4</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96993.398719999997</v>
      </c>
      <c r="C5" s="17">
        <f>IF(ISERROR('Eigen informatie GS &amp; warmtenet'!B59),0,'Eigen informatie GS &amp; warmtenet'!B59)</f>
        <v>0</v>
      </c>
      <c r="D5" s="30">
        <f>SUM(D6:D15)</f>
        <v>62610.349218117612</v>
      </c>
      <c r="E5" s="17">
        <f>SUM(E6:E15)</f>
        <v>6250.0513993939203</v>
      </c>
      <c r="F5" s="17">
        <f>SUM(F6:F15)</f>
        <v>31410.598178061817</v>
      </c>
      <c r="G5" s="18"/>
      <c r="H5" s="17"/>
      <c r="I5" s="17"/>
      <c r="J5" s="17">
        <f>SUM(J6:J15)</f>
        <v>429.72817477012524</v>
      </c>
      <c r="K5" s="17"/>
      <c r="L5" s="17"/>
      <c r="M5" s="17"/>
      <c r="N5" s="17">
        <f>SUM(N6:N15)</f>
        <v>7125.8710282524371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901.15800000000002</v>
      </c>
      <c r="C8" s="33"/>
      <c r="D8" s="37">
        <f>IF( ISERROR(IND_metaal_Gas_kWH/1000),0,IND_metaal_Gas_kWH/1000)*0.902</f>
        <v>469.46595224395082</v>
      </c>
      <c r="E8" s="33">
        <f>C30*'E Balans VL '!I18/100/3.6*1000000</f>
        <v>22.55283075456973</v>
      </c>
      <c r="F8" s="33">
        <f>C30*'E Balans VL '!L18/100/3.6*1000000+C30*'E Balans VL '!N18/100/3.6*1000000</f>
        <v>282.42739979042238</v>
      </c>
      <c r="G8" s="34"/>
      <c r="H8" s="33"/>
      <c r="I8" s="33"/>
      <c r="J8" s="40">
        <f>C30*'E Balans VL '!D18/100/3.6*1000000+C30*'E Balans VL '!E18/100/3.6*1000000</f>
        <v>0</v>
      </c>
      <c r="K8" s="33"/>
      <c r="L8" s="33"/>
      <c r="M8" s="33"/>
      <c r="N8" s="33">
        <f>C30*'E Balans VL '!Y18/100/3.6*1000000</f>
        <v>22.639427668946986</v>
      </c>
      <c r="O8" s="33"/>
      <c r="P8" s="33"/>
      <c r="R8" s="32"/>
    </row>
    <row r="9" spans="1:18">
      <c r="A9" s="6" t="s">
        <v>32</v>
      </c>
      <c r="B9" s="37">
        <f t="shared" si="0"/>
        <v>7209.7960000000003</v>
      </c>
      <c r="C9" s="33"/>
      <c r="D9" s="37">
        <f>IF( ISERROR(IND_andere_gas_kWh/1000),0,IND_andere_gas_kWh/1000)*0.902</f>
        <v>1053.4224753797453</v>
      </c>
      <c r="E9" s="33">
        <f>C31*'E Balans VL '!I19/100/3.6*1000000</f>
        <v>1982.3981898162372</v>
      </c>
      <c r="F9" s="33">
        <f>C31*'E Balans VL '!L19/100/3.6*1000000+C31*'E Balans VL '!N19/100/3.6*1000000</f>
        <v>5682.5738425813315</v>
      </c>
      <c r="G9" s="34"/>
      <c r="H9" s="33"/>
      <c r="I9" s="33"/>
      <c r="J9" s="40">
        <f>C31*'E Balans VL '!D19/100/3.6*1000000+C31*'E Balans VL '!E19/100/3.6*1000000</f>
        <v>0</v>
      </c>
      <c r="K9" s="33"/>
      <c r="L9" s="33"/>
      <c r="M9" s="33"/>
      <c r="N9" s="33">
        <f>C31*'E Balans VL '!Y19/100/3.6*1000000</f>
        <v>580.82570905240937</v>
      </c>
      <c r="O9" s="33"/>
      <c r="P9" s="33"/>
      <c r="R9" s="32"/>
    </row>
    <row r="10" spans="1:18">
      <c r="A10" s="6" t="s">
        <v>40</v>
      </c>
      <c r="B10" s="37">
        <f t="shared" si="0"/>
        <v>3469.6970000000001</v>
      </c>
      <c r="C10" s="33"/>
      <c r="D10" s="37">
        <f>IF( ISERROR(IND_voed_gas_kWh/1000),0,IND_voed_gas_kWh/1000)*0.902</f>
        <v>400.35040031538006</v>
      </c>
      <c r="E10" s="33">
        <f>C32*'E Balans VL '!I20/100/3.6*1000000</f>
        <v>35.371649448015823</v>
      </c>
      <c r="F10" s="33">
        <f>C32*'E Balans VL '!L20/100/3.6*1000000+C32*'E Balans VL '!N20/100/3.6*1000000</f>
        <v>6554.2359321400709</v>
      </c>
      <c r="G10" s="34"/>
      <c r="H10" s="33"/>
      <c r="I10" s="33"/>
      <c r="J10" s="40">
        <f>C32*'E Balans VL '!D20/100/3.6*1000000+C32*'E Balans VL '!E20/100/3.6*1000000</f>
        <v>83.041202109983089</v>
      </c>
      <c r="K10" s="33"/>
      <c r="L10" s="33"/>
      <c r="M10" s="33"/>
      <c r="N10" s="33">
        <f>C32*'E Balans VL '!Y20/100/3.6*1000000</f>
        <v>1828.9299790866551</v>
      </c>
      <c r="O10" s="33"/>
      <c r="P10" s="33"/>
      <c r="R10" s="32"/>
    </row>
    <row r="11" spans="1:18">
      <c r="A11" s="6" t="s">
        <v>39</v>
      </c>
      <c r="B11" s="37">
        <f t="shared" si="0"/>
        <v>14.363719999999999</v>
      </c>
      <c r="C11" s="33"/>
      <c r="D11" s="37">
        <f>IF( ISERROR(IND_textiel_gas_kWh/1000),0,IND_textiel_gas_kWh/1000)*0.902</f>
        <v>0</v>
      </c>
      <c r="E11" s="33">
        <f>C33*'E Balans VL '!I21/100/3.6*1000000</f>
        <v>3.8070884983224126E-2</v>
      </c>
      <c r="F11" s="33">
        <f>C33*'E Balans VL '!L21/100/3.6*1000000+C33*'E Balans VL '!N21/100/3.6*1000000</f>
        <v>0.64149855248050391</v>
      </c>
      <c r="G11" s="34"/>
      <c r="H11" s="33"/>
      <c r="I11" s="33"/>
      <c r="J11" s="40">
        <f>C33*'E Balans VL '!D21/100/3.6*1000000+C33*'E Balans VL '!E21/100/3.6*1000000</f>
        <v>0</v>
      </c>
      <c r="K11" s="33"/>
      <c r="L11" s="33"/>
      <c r="M11" s="33"/>
      <c r="N11" s="33">
        <f>C33*'E Balans VL '!Y21/100/3.6*1000000</f>
        <v>0.13536779320807818</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2761.99</v>
      </c>
      <c r="C13" s="33"/>
      <c r="D13" s="37">
        <f>IF( ISERROR(IND_papier_gas_kWh/1000),0,IND_papier_gas_kWh/1000)*0.902</f>
        <v>0</v>
      </c>
      <c r="E13" s="33">
        <f>C35*'E Balans VL '!I23/100/3.6*1000000</f>
        <v>5.7202677198358467</v>
      </c>
      <c r="F13" s="33">
        <f>C35*'E Balans VL '!L23/100/3.6*1000000+C35*'E Balans VL '!N23/100/3.6*1000000</f>
        <v>54.77618293593553</v>
      </c>
      <c r="G13" s="34"/>
      <c r="H13" s="33"/>
      <c r="I13" s="33"/>
      <c r="J13" s="40">
        <f>C35*'E Balans VL '!D23/100/3.6*1000000+C35*'E Balans VL '!E23/100/3.6*1000000</f>
        <v>0</v>
      </c>
      <c r="K13" s="33"/>
      <c r="L13" s="33"/>
      <c r="M13" s="33"/>
      <c r="N13" s="33">
        <f>C35*'E Balans VL '!Y23/100/3.6*1000000</f>
        <v>191.55796710791083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82636.394</v>
      </c>
      <c r="C15" s="33"/>
      <c r="D15" s="37">
        <f>IF( ISERROR(IND_rest_gas_kWh/1000),0,IND_rest_gas_kWh/1000)*0.902</f>
        <v>60687.110390178532</v>
      </c>
      <c r="E15" s="33">
        <f>C37*'E Balans VL '!I15/100/3.6*1000000</f>
        <v>4203.9703907702788</v>
      </c>
      <c r="F15" s="33">
        <f>C37*'E Balans VL '!L15/100/3.6*1000000+C37*'E Balans VL '!N15/100/3.6*1000000</f>
        <v>18835.943322061576</v>
      </c>
      <c r="G15" s="34"/>
      <c r="H15" s="33"/>
      <c r="I15" s="33"/>
      <c r="J15" s="40">
        <f>C37*'E Balans VL '!D15/100/3.6*1000000+C37*'E Balans VL '!E15/100/3.6*1000000</f>
        <v>346.68697266014215</v>
      </c>
      <c r="K15" s="33"/>
      <c r="L15" s="33"/>
      <c r="M15" s="33"/>
      <c r="N15" s="33">
        <f>C37*'E Balans VL '!Y15/100/3.6*1000000</f>
        <v>4501.7825775433066</v>
      </c>
      <c r="O15" s="33"/>
      <c r="P15" s="33"/>
      <c r="R15" s="32"/>
    </row>
    <row r="16" spans="1:18">
      <c r="A16" s="16" t="s">
        <v>480</v>
      </c>
      <c r="B16" s="242">
        <f>'lokale energieproductie'!N51+'lokale energieproductie'!N44</f>
        <v>549</v>
      </c>
      <c r="C16" s="242">
        <f>'lokale energieproductie'!O51+'lokale energieproductie'!O44</f>
        <v>784.28571428571433</v>
      </c>
      <c r="D16" s="300">
        <f>('lokale energieproductie'!P44+'lokale energieproductie'!P51)*(-1)</f>
        <v>-1568.5714285714287</v>
      </c>
      <c r="E16" s="243"/>
      <c r="F16" s="300">
        <f>('lokale energieproductie'!S44+'lokale energieproductie'!S51)*(-1)</f>
        <v>0</v>
      </c>
      <c r="G16" s="244"/>
      <c r="H16" s="243"/>
      <c r="I16" s="243"/>
      <c r="J16" s="243"/>
      <c r="K16" s="243"/>
      <c r="L16" s="300">
        <f>('lokale energieproductie'!T44+'lokale energieproductie'!U44+'lokale energieproductie'!T51+'lokale energieproductie'!U51)*(-1)</f>
        <v>0</v>
      </c>
      <c r="M16" s="243"/>
      <c r="N16" s="300">
        <f>('lokale energieproductie'!Q44+'lokale energieproductie'!R44+'lokale energieproductie'!V44+'lokale energieproductie'!Q51+'lokale energieproductie'!R51+'lokale energieproductie'!V51)*(-1)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97542.398719999997</v>
      </c>
      <c r="C18" s="21">
        <f>C5+C16</f>
        <v>784.28571428571433</v>
      </c>
      <c r="D18" s="21">
        <f>MAX((D5+D16),0)</f>
        <v>61041.777789546184</v>
      </c>
      <c r="E18" s="21">
        <f>MAX((E5+E16),0)</f>
        <v>6250.0513993939203</v>
      </c>
      <c r="F18" s="21">
        <f>MAX((F5+F16),0)</f>
        <v>31410.598178061817</v>
      </c>
      <c r="G18" s="21"/>
      <c r="H18" s="21"/>
      <c r="I18" s="21"/>
      <c r="J18" s="21">
        <f>MAX((J5+J16),0)</f>
        <v>429.72817477012524</v>
      </c>
      <c r="K18" s="21"/>
      <c r="L18" s="21">
        <f>MAX((L5+L16),0)</f>
        <v>0</v>
      </c>
      <c r="M18" s="21"/>
      <c r="N18" s="21">
        <f>MAX((N5+N16),0)</f>
        <v>7125.8710282524371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0.19497845753912313</v>
      </c>
      <c r="C20" s="25">
        <f ca="1">'EF ele_warmte'!B22</f>
        <v>0.23213231759542105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19018.666447091739</v>
      </c>
      <c r="C22" s="23">
        <f ca="1">C18*C20</f>
        <v>182.0580605141231</v>
      </c>
      <c r="D22" s="23">
        <f>D18*D20</f>
        <v>12330.43911348833</v>
      </c>
      <c r="E22" s="23">
        <f>E18*E20</f>
        <v>1418.76166766242</v>
      </c>
      <c r="F22" s="23">
        <f>F18*F20</f>
        <v>8386.6297135425048</v>
      </c>
      <c r="G22" s="23"/>
      <c r="H22" s="23"/>
      <c r="I22" s="23"/>
      <c r="J22" s="23">
        <f>J18*J20</f>
        <v>152.12377386862431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901.15800000000002</v>
      </c>
      <c r="C30" s="39">
        <f>IF(ISERROR(B30*3.6/1000000/'E Balans VL '!Z18*100),0,B30*3.6/1000000/'E Balans VL '!Z18*100)</f>
        <v>0.12613208857788369</v>
      </c>
      <c r="D30" s="232" t="s">
        <v>651</v>
      </c>
    </row>
    <row r="31" spans="1:18">
      <c r="A31" s="6" t="s">
        <v>32</v>
      </c>
      <c r="B31" s="37">
        <f>IF( ISERROR(IND_ander_ele_kWh/1000),0,IND_ander_ele_kWh/1000)</f>
        <v>7209.7960000000003</v>
      </c>
      <c r="C31" s="39">
        <f>IF(ISERROR(B31*3.6/1000000/'E Balans VL '!Z19*100),0,B31*3.6/1000000/'E Balans VL '!Z19*100)</f>
        <v>0.31557160132491935</v>
      </c>
      <c r="D31" s="232" t="s">
        <v>651</v>
      </c>
    </row>
    <row r="32" spans="1:18">
      <c r="A32" s="167" t="s">
        <v>40</v>
      </c>
      <c r="B32" s="37">
        <f>IF( ISERROR(IND_voed_ele_kWh/1000),0,IND_voed_ele_kWh/1000)</f>
        <v>3469.6970000000001</v>
      </c>
      <c r="C32" s="39">
        <f>IF(ISERROR(B32*3.6/1000000/'E Balans VL '!Z20*100),0,B32*3.6/1000000/'E Balans VL '!Z20*100)</f>
        <v>0.8589817542460576</v>
      </c>
      <c r="D32" s="232" t="s">
        <v>651</v>
      </c>
    </row>
    <row r="33" spans="1:5">
      <c r="A33" s="167" t="s">
        <v>39</v>
      </c>
      <c r="B33" s="37">
        <f>IF( ISERROR(IND_textiel_ele_kWh/1000),0,IND_textiel_ele_kWh/1000)</f>
        <v>14.363719999999999</v>
      </c>
      <c r="C33" s="39">
        <f>IF(ISERROR(B33*3.6/1000000/'E Balans VL '!Z21*100),0,B33*3.6/1000000/'E Balans VL '!Z21*100)</f>
        <v>1.6185382247411279E-3</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2761.99</v>
      </c>
      <c r="C35" s="39">
        <f>IF(ISERROR(B35*3.6/1000000/'E Balans VL '!Z22*100),0,B35*3.6/1000000/'E Balans VL '!Z22*100)</f>
        <v>7.8374007886409358E-2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82636.394</v>
      </c>
      <c r="C37" s="39">
        <f>IF(ISERROR(B37*3.6/1000000/'E Balans VL '!Z15*100),0,B37*3.6/1000000/'E Balans VL '!Z15*100)</f>
        <v>0.61273471356065623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21169.072</v>
      </c>
      <c r="C5" s="17">
        <f>'Eigen informatie GS &amp; warmtenet'!B60</f>
        <v>0</v>
      </c>
      <c r="D5" s="30">
        <f>IF(ISERROR(SUM(LB_lb_gas_kWh,LB_rest_gas_kWh)/1000),0,SUM(LB_lb_gas_kWh,LB_rest_gas_kWh)/1000)*0.902</f>
        <v>200221.442336929</v>
      </c>
      <c r="E5" s="17">
        <f>B17*'E Balans VL '!I25/3.6*1000000/100</f>
        <v>453.93982940464105</v>
      </c>
      <c r="F5" s="17">
        <f>B17*('E Balans VL '!L25/3.6*1000000+'E Balans VL '!N25/3.6*1000000)/100</f>
        <v>68665.686279170011</v>
      </c>
      <c r="G5" s="18"/>
      <c r="H5" s="17"/>
      <c r="I5" s="17"/>
      <c r="J5" s="17">
        <f>('E Balans VL '!D25+'E Balans VL '!E25)/3.6*1000000*landbouw!B17/100</f>
        <v>2039.6512746396952</v>
      </c>
      <c r="K5" s="17"/>
      <c r="L5" s="17">
        <f>L6*(-1)</f>
        <v>7020</v>
      </c>
      <c r="M5" s="17"/>
      <c r="N5" s="17">
        <f>N6*(-1)</f>
        <v>374.14285714285711</v>
      </c>
      <c r="O5" s="17"/>
      <c r="P5" s="17"/>
      <c r="R5" s="32"/>
    </row>
    <row r="6" spans="1:18">
      <c r="A6" s="16" t="s">
        <v>480</v>
      </c>
      <c r="B6" s="17" t="s">
        <v>204</v>
      </c>
      <c r="C6" s="17">
        <f>'lokale energieproductie'!O53+'lokale energieproductie'!O46</f>
        <v>128984.78571428572</v>
      </c>
      <c r="D6" s="300">
        <f>('lokale energieproductie'!P46+'lokale energieproductie'!P53)*(-1)</f>
        <v>-249171.42857142858</v>
      </c>
      <c r="E6" s="243"/>
      <c r="F6" s="300">
        <f>('lokale energieproductie'!S46+'lokale energieproductie'!S882)*(-1)</f>
        <v>-2340</v>
      </c>
      <c r="G6" s="244"/>
      <c r="H6" s="243"/>
      <c r="I6" s="243"/>
      <c r="J6" s="243"/>
      <c r="K6" s="243"/>
      <c r="L6" s="300">
        <f>('lokale energieproductie'!T46+'lokale energieproductie'!U46+'lokale energieproductie'!T53+'lokale energieproductie'!U53)*(-1)</f>
        <v>-7020</v>
      </c>
      <c r="M6" s="243"/>
      <c r="N6" s="300">
        <f>('lokale energieproductie'!V46+'lokale energieproductie'!R46+'lokale energieproductie'!Q46+'lokale energieproductie'!Q53+'lokale energieproductie'!R53+'lokale energieproductie'!V53)*(-1)</f>
        <v>-374.14285714285711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21169.072</v>
      </c>
      <c r="C8" s="21">
        <f>C5+C6</f>
        <v>128984.78571428572</v>
      </c>
      <c r="D8" s="21">
        <f>MAX((D5+D6),0)</f>
        <v>0</v>
      </c>
      <c r="E8" s="21">
        <f>MAX((E5+E6),0)</f>
        <v>453.93982940464105</v>
      </c>
      <c r="F8" s="21">
        <f>MAX((F5+F6),0)</f>
        <v>66325.686279170011</v>
      </c>
      <c r="G8" s="21"/>
      <c r="H8" s="21"/>
      <c r="I8" s="21"/>
      <c r="J8" s="21">
        <f>MAX((J5+J6),0)</f>
        <v>2039.6512746396952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0.19497845753912313</v>
      </c>
      <c r="C10" s="31">
        <f ca="1">'EF ele_warmte'!B22</f>
        <v>0.23213231759542105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4127.5130060946403</v>
      </c>
      <c r="C12" s="23">
        <f ca="1">C8*C10</f>
        <v>29941.537242405902</v>
      </c>
      <c r="D12" s="23">
        <f>D8*D10</f>
        <v>0</v>
      </c>
      <c r="E12" s="23">
        <f>E8*E10</f>
        <v>103.04434127485352</v>
      </c>
      <c r="F12" s="23">
        <f>F8*F10</f>
        <v>17708.958236538394</v>
      </c>
      <c r="G12" s="23"/>
      <c r="H12" s="23"/>
      <c r="I12" s="23"/>
      <c r="J12" s="23">
        <f>J8*J10</f>
        <v>722.03655122245209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3.0097931764882362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1587.6093852707738</v>
      </c>
      <c r="C26" s="242">
        <f>B26*'GWP N2O_CH4'!B5</f>
        <v>33339.797090686254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1324.1341190024925</v>
      </c>
      <c r="C27" s="242">
        <f>B27*'GWP N2O_CH4'!B5</f>
        <v>27806.816499052344</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26.066838761349786</v>
      </c>
      <c r="C28" s="242">
        <f>B28*'GWP N2O_CH4'!B4</f>
        <v>8080.7200160184339</v>
      </c>
      <c r="D28" s="50"/>
    </row>
    <row r="29" spans="1:4">
      <c r="A29" s="41" t="s">
        <v>266</v>
      </c>
      <c r="B29" s="242">
        <f>B34*'ha_N2O bodem landbouw'!B4</f>
        <v>42.02902860004496</v>
      </c>
      <c r="C29" s="242">
        <f>B29*'GWP N2O_CH4'!B4</f>
        <v>13028.998866013937</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9.4263706765488411E-3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1.4267194727459823E-4</v>
      </c>
      <c r="C5" s="428" t="s">
        <v>204</v>
      </c>
      <c r="D5" s="413">
        <f>SUM(D6:D11)</f>
        <v>2.0487940995897832E-4</v>
      </c>
      <c r="E5" s="413">
        <f>SUM(E6:E11)</f>
        <v>2.2043913632771714E-3</v>
      </c>
      <c r="F5" s="426" t="s">
        <v>204</v>
      </c>
      <c r="G5" s="413">
        <f>SUM(G6:G11)</f>
        <v>0.91008675404798844</v>
      </c>
      <c r="H5" s="413">
        <f>SUM(H6:H11)</f>
        <v>0.12853944503552719</v>
      </c>
      <c r="I5" s="428" t="s">
        <v>204</v>
      </c>
      <c r="J5" s="428" t="s">
        <v>204</v>
      </c>
      <c r="K5" s="428" t="s">
        <v>204</v>
      </c>
      <c r="L5" s="428" t="s">
        <v>204</v>
      </c>
      <c r="M5" s="413">
        <f>SUM(M6:M11)</f>
        <v>5.6685058115774956E-2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3.838398171854914E-5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5.8052961202811605E-5</v>
      </c>
      <c r="E6" s="819">
        <f>vkm_GW_PW*SUMIFS(TableVerdeelsleutelVkm[LPG],TableVerdeelsleutelVkm[Voertuigtype],"Lichte voertuigen")*SUMIFS(TableECFTransport[EnergieConsumptieFactor (PJ per km)],TableECFTransport[Index],CONCATENATE($A6,"_LPG_LPG"))</f>
        <v>5.6710715351564395E-4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0.13167453449688191</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3.5865649419123541E-2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8.7281197283309089E-3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2.2757406555492982E-6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8.734341035897529E-2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1.9571490060149916E-6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5.0639815011377367E-3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2.1051502787253867E-5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4.7947537799420577E-5</v>
      </c>
      <c r="E8" s="416">
        <f>vkm_NGW_PW*SUMIFS(TableVerdeelsleutelVkm[LPG],TableVerdeelsleutelVkm[Voertuigtype],"Lichte voertuigen")*SUMIFS(TableECFTransport[EnergieConsumptieFactor (PJ per km)],TableECFTransport[Index],CONCATENATE($A8,"_LPG_LPG"))</f>
        <v>4.4542820448454241E-4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9.6399847695825713E-2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2.8547612238335074E-2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6.459772752282592E-3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1.272010054065311E-7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6.2724653086509378E-3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1.3204078989455368E-7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3.6366367522778267E-4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7.1622196069724746E-5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9.8878910956746137E-5</v>
      </c>
      <c r="E10" s="416">
        <f>vkm_SW_PW*SUMIFS(TableVerdeelsleutelVkm[LPG],TableVerdeelsleutelVkm[Voertuigtype],"Lichte voertuigen")*SUMIFS(TableECFTransport[EnergieConsumptieFactor (PJ per km)],TableECFTransport[Index],CONCATENATE($A10,"_LPG_LPG"))</f>
        <v>1.1918560052769848E-3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0.25140027989019675</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6.4115940508138639E-2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1.6531192343559754E-2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9.2113250381146254E-6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0.3369962162974578</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8.1536801340496045E-6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1.9538328115236175E-2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39.631096465166173</v>
      </c>
      <c r="C14" s="21"/>
      <c r="D14" s="21">
        <f t="shared" ref="D14:M14" si="0">((D5)*10^9/3600)+D12</f>
        <v>56.910947210827317</v>
      </c>
      <c r="E14" s="21">
        <f t="shared" si="0"/>
        <v>612.3309342436587</v>
      </c>
      <c r="F14" s="21"/>
      <c r="G14" s="21">
        <f t="shared" si="0"/>
        <v>252801.87612444122</v>
      </c>
      <c r="H14" s="21">
        <f t="shared" si="0"/>
        <v>35705.401398757553</v>
      </c>
      <c r="I14" s="21"/>
      <c r="J14" s="21"/>
      <c r="K14" s="21"/>
      <c r="L14" s="21"/>
      <c r="M14" s="21">
        <f t="shared" si="0"/>
        <v>15745.849476604153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0.19497845753912313</v>
      </c>
      <c r="C16" s="56">
        <f ca="1">'EF ele_warmte'!B22</f>
        <v>0.23213231759542105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7.7272100593622959</v>
      </c>
      <c r="C18" s="23"/>
      <c r="D18" s="23">
        <f t="shared" ref="D18:M18" si="1">D14*D16</f>
        <v>11.496011336587118</v>
      </c>
      <c r="E18" s="23">
        <f t="shared" si="1"/>
        <v>138.99912207331053</v>
      </c>
      <c r="F18" s="23"/>
      <c r="G18" s="23">
        <f t="shared" si="1"/>
        <v>67498.100925225808</v>
      </c>
      <c r="H18" s="23">
        <f t="shared" si="1"/>
        <v>8890.6449482906301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3.3061329491709952E-5</v>
      </c>
      <c r="C50" s="311">
        <f t="shared" ref="C50:P50" si="2">SUM(C51:C52)</f>
        <v>0</v>
      </c>
      <c r="D50" s="311">
        <f t="shared" si="2"/>
        <v>0</v>
      </c>
      <c r="E50" s="311">
        <f t="shared" si="2"/>
        <v>0</v>
      </c>
      <c r="F50" s="311">
        <f t="shared" si="2"/>
        <v>0</v>
      </c>
      <c r="G50" s="311">
        <f t="shared" si="2"/>
        <v>6.2646858214878117E-3</v>
      </c>
      <c r="H50" s="311">
        <f t="shared" si="2"/>
        <v>0</v>
      </c>
      <c r="I50" s="311">
        <f t="shared" si="2"/>
        <v>0</v>
      </c>
      <c r="J50" s="311">
        <f t="shared" si="2"/>
        <v>0</v>
      </c>
      <c r="K50" s="311">
        <f t="shared" si="2"/>
        <v>0</v>
      </c>
      <c r="L50" s="311">
        <f t="shared" si="2"/>
        <v>0</v>
      </c>
      <c r="M50" s="311">
        <f t="shared" si="2"/>
        <v>3.6064565912115207E-4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3.3061329491709952E-5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6.2646858214878117E-3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3.6064565912115207E-4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9.1837026365860961</v>
      </c>
      <c r="C54" s="21">
        <f t="shared" ref="C54:P54" si="3">(C50)*10^9/3600</f>
        <v>0</v>
      </c>
      <c r="D54" s="21">
        <f t="shared" si="3"/>
        <v>0</v>
      </c>
      <c r="E54" s="21">
        <f t="shared" si="3"/>
        <v>0</v>
      </c>
      <c r="F54" s="21">
        <f t="shared" si="3"/>
        <v>0</v>
      </c>
      <c r="G54" s="21">
        <f t="shared" si="3"/>
        <v>1740.1905059688365</v>
      </c>
      <c r="H54" s="21">
        <f t="shared" si="3"/>
        <v>0</v>
      </c>
      <c r="I54" s="21">
        <f t="shared" si="3"/>
        <v>0</v>
      </c>
      <c r="J54" s="21">
        <f t="shared" si="3"/>
        <v>0</v>
      </c>
      <c r="K54" s="21">
        <f t="shared" si="3"/>
        <v>0</v>
      </c>
      <c r="L54" s="21">
        <f t="shared" si="3"/>
        <v>0</v>
      </c>
      <c r="M54" s="21">
        <f t="shared" si="3"/>
        <v>100.17934975587558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0.19497845753912313</v>
      </c>
      <c r="C56" s="56">
        <f ca="1">'EF ele_warmte'!B22</f>
        <v>0.23213231759542105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1.7906241745795353</v>
      </c>
      <c r="C58" s="23">
        <f t="shared" ref="C58:P58" ca="1" si="4">C54*C56</f>
        <v>0</v>
      </c>
      <c r="D58" s="23">
        <f t="shared" si="4"/>
        <v>0</v>
      </c>
      <c r="E58" s="23">
        <f t="shared" si="4"/>
        <v>0</v>
      </c>
      <c r="F58" s="23">
        <f t="shared" si="4"/>
        <v>0</v>
      </c>
      <c r="G58" s="23">
        <f t="shared" si="4"/>
        <v>464.6308650936794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5"/>
  <sheetViews>
    <sheetView showGridLines="0" zoomScale="65" zoomScaleNormal="65" workbookViewId="0">
      <selection activeCell="A28" sqref="A28:XFD43"/>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21023.287535619096</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8537.7230024569271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N43</f>
        <v>100633.95</v>
      </c>
      <c r="C8" s="535">
        <f>B62</f>
        <v>114365.97869423927</v>
      </c>
      <c r="D8" s="974"/>
      <c r="E8" s="974">
        <f>E62</f>
        <v>968.0312585969466</v>
      </c>
      <c r="F8" s="975"/>
      <c r="G8" s="536"/>
      <c r="H8" s="974">
        <f>I62</f>
        <v>0</v>
      </c>
      <c r="I8" s="974">
        <f>G62+F62</f>
        <v>2904.0937757908396</v>
      </c>
      <c r="J8" s="974">
        <f>H62+D62+C62</f>
        <v>154.77862431412717</v>
      </c>
      <c r="K8" s="974"/>
      <c r="L8" s="974"/>
      <c r="M8" s="974"/>
      <c r="N8" s="537"/>
      <c r="O8" s="538">
        <f>C8*$C$12+D8*$D$12+E8*$E$12+F8*$F$12+G8*$G$12+H8*$H$12+I8*$I$12+J8*$J$12</f>
        <v>23360.392042281717</v>
      </c>
      <c r="P8" s="1218"/>
      <c r="Q8" s="1219"/>
      <c r="S8" s="938"/>
      <c r="T8" s="1193"/>
      <c r="U8" s="1193"/>
    </row>
    <row r="9" spans="1:21" s="524" customFormat="1" ht="17.45" customHeight="1" thickBot="1">
      <c r="A9" s="539" t="s">
        <v>237</v>
      </c>
      <c r="B9" s="540">
        <f>N50+'Eigen informatie GS &amp; warmtenet'!B12</f>
        <v>1341</v>
      </c>
      <c r="C9" s="541">
        <f>P50+IF(ISERROR(('Eigen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S50+IF(ISERROR('Eigen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W50+IF(ISERROR('Eigen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(T50+U50)+IF(ISERROR('Eigen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V50+Q50+R50+IF(ISERROR('Eigen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131535.960538076</v>
      </c>
      <c r="C10" s="548">
        <f t="shared" ref="C10:L10" si="0">SUM(C8:C9)</f>
        <v>114365.97869423927</v>
      </c>
      <c r="D10" s="548">
        <f t="shared" si="0"/>
        <v>0</v>
      </c>
      <c r="E10" s="548">
        <f t="shared" si="0"/>
        <v>968.0312585969466</v>
      </c>
      <c r="F10" s="548">
        <f t="shared" si="0"/>
        <v>0</v>
      </c>
      <c r="G10" s="548">
        <f t="shared" si="0"/>
        <v>0</v>
      </c>
      <c r="H10" s="548">
        <f t="shared" si="0"/>
        <v>0</v>
      </c>
      <c r="I10" s="548">
        <f t="shared" si="0"/>
        <v>2904.0937757908396</v>
      </c>
      <c r="J10" s="548">
        <f t="shared" si="0"/>
        <v>3986.2071957426988</v>
      </c>
      <c r="K10" s="548">
        <f t="shared" si="0"/>
        <v>0</v>
      </c>
      <c r="L10" s="548">
        <f t="shared" si="0"/>
        <v>0</v>
      </c>
      <c r="M10" s="977"/>
      <c r="N10" s="977"/>
      <c r="O10" s="549">
        <f>SUM(O4:O9)</f>
        <v>23360.392042281717</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O43</f>
        <v>142626.21428571429</v>
      </c>
      <c r="C17" s="560">
        <f>B63</f>
        <v>162088.30702004649</v>
      </c>
      <c r="D17" s="561"/>
      <c r="E17" s="561">
        <f>E63</f>
        <v>1371.9687414030536</v>
      </c>
      <c r="F17" s="980"/>
      <c r="G17" s="562"/>
      <c r="H17" s="560">
        <f>I63</f>
        <v>0</v>
      </c>
      <c r="I17" s="561">
        <f>G63+F63</f>
        <v>4115.9062242091604</v>
      </c>
      <c r="J17" s="561">
        <f>H63+D63+C63</f>
        <v>219.36423282872997</v>
      </c>
      <c r="K17" s="561"/>
      <c r="L17" s="561"/>
      <c r="M17" s="561"/>
      <c r="N17" s="981"/>
      <c r="O17" s="563">
        <f>C17*$C$22+E17*$E$22+H17*$H$22+I17*$I$22+J17*$J$22+D17*$D$22+F17*$F$22+G17*$G$22+K17*$K$22+L17*$L$22</f>
        <v>33108.153672004009</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142626.21428571429</v>
      </c>
      <c r="C20" s="547">
        <f>SUM(C17:C19)</f>
        <v>162088.30702004649</v>
      </c>
      <c r="D20" s="547">
        <f t="shared" ref="D20:L20" si="1">SUM(D17:D19)</f>
        <v>0</v>
      </c>
      <c r="E20" s="547">
        <f t="shared" si="1"/>
        <v>1371.9687414030536</v>
      </c>
      <c r="F20" s="547">
        <f t="shared" si="1"/>
        <v>0</v>
      </c>
      <c r="G20" s="547">
        <f t="shared" si="1"/>
        <v>0</v>
      </c>
      <c r="H20" s="547">
        <f t="shared" si="1"/>
        <v>0</v>
      </c>
      <c r="I20" s="547">
        <f t="shared" si="1"/>
        <v>4115.9062242091604</v>
      </c>
      <c r="J20" s="547">
        <f t="shared" si="1"/>
        <v>219.36423282872997</v>
      </c>
      <c r="K20" s="547">
        <f t="shared" si="1"/>
        <v>0</v>
      </c>
      <c r="L20" s="547">
        <f t="shared" si="1"/>
        <v>0</v>
      </c>
      <c r="M20" s="547"/>
      <c r="N20" s="547"/>
      <c r="O20" s="566">
        <f>SUM(O17:O19)</f>
        <v>33108.153672004009</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13014</v>
      </c>
      <c r="C28" s="725">
        <v>2321</v>
      </c>
      <c r="D28" s="618"/>
      <c r="E28" s="617"/>
      <c r="F28" s="617"/>
      <c r="G28" s="617" t="s">
        <v>904</v>
      </c>
      <c r="H28" s="617" t="s">
        <v>905</v>
      </c>
      <c r="I28" s="617"/>
      <c r="J28" s="724"/>
      <c r="K28" s="724"/>
      <c r="L28" s="617" t="s">
        <v>906</v>
      </c>
      <c r="M28" s="617">
        <v>5774</v>
      </c>
      <c r="N28" s="617">
        <v>25983</v>
      </c>
      <c r="O28" s="617">
        <v>37118.571428571428</v>
      </c>
      <c r="P28" s="617">
        <v>74237.142857142855</v>
      </c>
      <c r="Q28" s="617">
        <v>0</v>
      </c>
      <c r="R28" s="617">
        <v>0</v>
      </c>
      <c r="S28" s="617">
        <v>0</v>
      </c>
      <c r="T28" s="617">
        <v>0</v>
      </c>
      <c r="U28" s="617">
        <v>0</v>
      </c>
      <c r="V28" s="617">
        <v>0</v>
      </c>
      <c r="W28" s="617">
        <v>0</v>
      </c>
      <c r="X28" s="617"/>
      <c r="Y28" s="617">
        <v>10</v>
      </c>
      <c r="Z28" s="617" t="s">
        <v>105</v>
      </c>
      <c r="AA28" s="619" t="s">
        <v>105</v>
      </c>
    </row>
    <row r="29" spans="1:27" s="571" customFormat="1" ht="63.75" hidden="1">
      <c r="A29" s="570"/>
      <c r="B29" s="725">
        <v>13014</v>
      </c>
      <c r="C29" s="725">
        <v>2321</v>
      </c>
      <c r="D29" s="618"/>
      <c r="E29" s="617"/>
      <c r="F29" s="617"/>
      <c r="G29" s="617" t="s">
        <v>904</v>
      </c>
      <c r="H29" s="617" t="s">
        <v>905</v>
      </c>
      <c r="I29" s="617"/>
      <c r="J29" s="724"/>
      <c r="K29" s="724"/>
      <c r="L29" s="617" t="s">
        <v>906</v>
      </c>
      <c r="M29" s="617">
        <v>2000</v>
      </c>
      <c r="N29" s="617">
        <v>9000</v>
      </c>
      <c r="O29" s="617">
        <v>12857.142857142857</v>
      </c>
      <c r="P29" s="617">
        <v>25714.285714285717</v>
      </c>
      <c r="Q29" s="617">
        <v>0</v>
      </c>
      <c r="R29" s="617">
        <v>0</v>
      </c>
      <c r="S29" s="617">
        <v>0</v>
      </c>
      <c r="T29" s="617">
        <v>0</v>
      </c>
      <c r="U29" s="617">
        <v>0</v>
      </c>
      <c r="V29" s="617">
        <v>0</v>
      </c>
      <c r="W29" s="617">
        <v>0</v>
      </c>
      <c r="X29" s="617"/>
      <c r="Y29" s="617">
        <v>1600</v>
      </c>
      <c r="Z29" s="617" t="s">
        <v>49</v>
      </c>
      <c r="AA29" s="619" t="s">
        <v>149</v>
      </c>
    </row>
    <row r="30" spans="1:27" s="571" customFormat="1" ht="25.5" hidden="1">
      <c r="A30" s="570"/>
      <c r="B30" s="725">
        <v>13014</v>
      </c>
      <c r="C30" s="725">
        <v>2321</v>
      </c>
      <c r="D30" s="618"/>
      <c r="E30" s="617"/>
      <c r="F30" s="617"/>
      <c r="G30" s="617" t="s">
        <v>904</v>
      </c>
      <c r="H30" s="617" t="s">
        <v>905</v>
      </c>
      <c r="I30" s="617"/>
      <c r="J30" s="724"/>
      <c r="K30" s="724"/>
      <c r="L30" s="617" t="s">
        <v>906</v>
      </c>
      <c r="M30" s="617">
        <v>2028</v>
      </c>
      <c r="N30" s="617">
        <v>9126</v>
      </c>
      <c r="O30" s="617">
        <v>13037.142857142857</v>
      </c>
      <c r="P30" s="617">
        <v>26074.285714285717</v>
      </c>
      <c r="Q30" s="617">
        <v>0</v>
      </c>
      <c r="R30" s="617">
        <v>0</v>
      </c>
      <c r="S30" s="617">
        <v>0</v>
      </c>
      <c r="T30" s="617">
        <v>0</v>
      </c>
      <c r="U30" s="617">
        <v>0</v>
      </c>
      <c r="V30" s="617">
        <v>0</v>
      </c>
      <c r="W30" s="617">
        <v>0</v>
      </c>
      <c r="X30" s="617"/>
      <c r="Y30" s="617">
        <v>10</v>
      </c>
      <c r="Z30" s="617" t="s">
        <v>105</v>
      </c>
      <c r="AA30" s="619" t="s">
        <v>105</v>
      </c>
    </row>
    <row r="31" spans="1:27" s="571" customFormat="1" ht="25.5" hidden="1">
      <c r="A31" s="570"/>
      <c r="B31" s="725">
        <v>13014</v>
      </c>
      <c r="C31" s="725">
        <v>2321</v>
      </c>
      <c r="D31" s="618"/>
      <c r="E31" s="617"/>
      <c r="F31" s="617"/>
      <c r="G31" s="617" t="s">
        <v>904</v>
      </c>
      <c r="H31" s="617" t="s">
        <v>905</v>
      </c>
      <c r="I31" s="617"/>
      <c r="J31" s="724"/>
      <c r="K31" s="724"/>
      <c r="L31" s="617" t="s">
        <v>906</v>
      </c>
      <c r="M31" s="617">
        <v>1556</v>
      </c>
      <c r="N31" s="617">
        <v>7002</v>
      </c>
      <c r="O31" s="617">
        <v>10002.857142857143</v>
      </c>
      <c r="P31" s="617">
        <v>20005.714285714286</v>
      </c>
      <c r="Q31" s="617">
        <v>0</v>
      </c>
      <c r="R31" s="617">
        <v>0</v>
      </c>
      <c r="S31" s="617">
        <v>0</v>
      </c>
      <c r="T31" s="617">
        <v>0</v>
      </c>
      <c r="U31" s="617">
        <v>0</v>
      </c>
      <c r="V31" s="617">
        <v>0</v>
      </c>
      <c r="W31" s="617">
        <v>0</v>
      </c>
      <c r="X31" s="617"/>
      <c r="Y31" s="617">
        <v>10</v>
      </c>
      <c r="Z31" s="617" t="s">
        <v>105</v>
      </c>
      <c r="AA31" s="619" t="s">
        <v>105</v>
      </c>
    </row>
    <row r="32" spans="1:27" s="571" customFormat="1" ht="25.5" hidden="1">
      <c r="A32" s="570"/>
      <c r="B32" s="725">
        <v>13014</v>
      </c>
      <c r="C32" s="725">
        <v>2321</v>
      </c>
      <c r="D32" s="618"/>
      <c r="E32" s="617"/>
      <c r="F32" s="617"/>
      <c r="G32" s="617" t="s">
        <v>904</v>
      </c>
      <c r="H32" s="617" t="s">
        <v>905</v>
      </c>
      <c r="I32" s="617"/>
      <c r="J32" s="724"/>
      <c r="K32" s="724"/>
      <c r="L32" s="617" t="s">
        <v>906</v>
      </c>
      <c r="M32" s="617">
        <v>1998</v>
      </c>
      <c r="N32" s="617">
        <v>8991</v>
      </c>
      <c r="O32" s="617">
        <v>12844.285714285714</v>
      </c>
      <c r="P32" s="617">
        <v>25688.571428571431</v>
      </c>
      <c r="Q32" s="617">
        <v>0</v>
      </c>
      <c r="R32" s="617">
        <v>0</v>
      </c>
      <c r="S32" s="617">
        <v>0</v>
      </c>
      <c r="T32" s="617">
        <v>0</v>
      </c>
      <c r="U32" s="617">
        <v>0</v>
      </c>
      <c r="V32" s="617">
        <v>0</v>
      </c>
      <c r="W32" s="617">
        <v>0</v>
      </c>
      <c r="X32" s="617"/>
      <c r="Y32" s="617">
        <v>10</v>
      </c>
      <c r="Z32" s="617" t="s">
        <v>105</v>
      </c>
      <c r="AA32" s="619" t="s">
        <v>105</v>
      </c>
    </row>
    <row r="33" spans="1:27" s="571" customFormat="1" ht="25.5" hidden="1">
      <c r="A33" s="570"/>
      <c r="B33" s="725">
        <v>13014</v>
      </c>
      <c r="C33" s="725">
        <v>2320</v>
      </c>
      <c r="D33" s="618"/>
      <c r="E33" s="617"/>
      <c r="F33" s="617"/>
      <c r="G33" s="617" t="s">
        <v>904</v>
      </c>
      <c r="H33" s="617" t="s">
        <v>905</v>
      </c>
      <c r="I33" s="617"/>
      <c r="J33" s="724"/>
      <c r="K33" s="724"/>
      <c r="L33" s="617" t="s">
        <v>906</v>
      </c>
      <c r="M33" s="617">
        <v>122</v>
      </c>
      <c r="N33" s="617">
        <v>549</v>
      </c>
      <c r="O33" s="617">
        <v>784.28571428571433</v>
      </c>
      <c r="P33" s="617">
        <v>1568.5714285714287</v>
      </c>
      <c r="Q33" s="617">
        <v>0</v>
      </c>
      <c r="R33" s="617">
        <v>0</v>
      </c>
      <c r="S33" s="617">
        <v>0</v>
      </c>
      <c r="T33" s="617">
        <v>0</v>
      </c>
      <c r="U33" s="617">
        <v>0</v>
      </c>
      <c r="V33" s="617">
        <v>0</v>
      </c>
      <c r="W33" s="617">
        <v>0</v>
      </c>
      <c r="X33" s="617"/>
      <c r="Y33" s="617">
        <v>400</v>
      </c>
      <c r="Z33" s="617" t="s">
        <v>36</v>
      </c>
      <c r="AA33" s="619" t="s">
        <v>376</v>
      </c>
    </row>
    <row r="34" spans="1:27" s="571" customFormat="1" ht="38.25" hidden="1">
      <c r="A34" s="570"/>
      <c r="B34" s="725">
        <v>13014</v>
      </c>
      <c r="C34" s="725">
        <v>2328</v>
      </c>
      <c r="D34" s="618"/>
      <c r="E34" s="617"/>
      <c r="F34" s="617"/>
      <c r="G34" s="617" t="s">
        <v>904</v>
      </c>
      <c r="H34" s="617" t="s">
        <v>907</v>
      </c>
      <c r="I34" s="617"/>
      <c r="J34" s="724"/>
      <c r="K34" s="724"/>
      <c r="L34" s="617" t="s">
        <v>908</v>
      </c>
      <c r="M34" s="617">
        <v>832</v>
      </c>
      <c r="N34" s="617">
        <v>3744</v>
      </c>
      <c r="O34" s="617">
        <v>4212</v>
      </c>
      <c r="P34" s="617">
        <v>0</v>
      </c>
      <c r="Q34" s="617">
        <v>0</v>
      </c>
      <c r="R34" s="617">
        <v>0</v>
      </c>
      <c r="S34" s="617">
        <v>2340</v>
      </c>
      <c r="T34" s="617">
        <v>7020</v>
      </c>
      <c r="U34" s="617">
        <v>0</v>
      </c>
      <c r="V34" s="617">
        <v>0</v>
      </c>
      <c r="W34" s="617">
        <v>0</v>
      </c>
      <c r="X34" s="617"/>
      <c r="Y34" s="617">
        <v>10</v>
      </c>
      <c r="Z34" s="617" t="s">
        <v>105</v>
      </c>
      <c r="AA34" s="619" t="s">
        <v>105</v>
      </c>
    </row>
    <row r="35" spans="1:27" s="571" customFormat="1" ht="25.5" hidden="1">
      <c r="A35" s="570"/>
      <c r="B35" s="725">
        <v>13014</v>
      </c>
      <c r="C35" s="725">
        <v>2321</v>
      </c>
      <c r="D35" s="618"/>
      <c r="E35" s="617"/>
      <c r="F35" s="617"/>
      <c r="G35" s="617" t="s">
        <v>904</v>
      </c>
      <c r="H35" s="617" t="s">
        <v>905</v>
      </c>
      <c r="I35" s="617"/>
      <c r="J35" s="724"/>
      <c r="K35" s="724"/>
      <c r="L35" s="617" t="s">
        <v>906</v>
      </c>
      <c r="M35" s="617">
        <v>404</v>
      </c>
      <c r="N35" s="617">
        <v>1818.0000000000002</v>
      </c>
      <c r="O35" s="617">
        <v>2597.1428571428573</v>
      </c>
      <c r="P35" s="617">
        <v>5194.2857142857156</v>
      </c>
      <c r="Q35" s="617">
        <v>0</v>
      </c>
      <c r="R35" s="617">
        <v>0</v>
      </c>
      <c r="S35" s="617">
        <v>0</v>
      </c>
      <c r="T35" s="617">
        <v>0</v>
      </c>
      <c r="U35" s="617">
        <v>0</v>
      </c>
      <c r="V35" s="617">
        <v>0</v>
      </c>
      <c r="W35" s="617">
        <v>0</v>
      </c>
      <c r="X35" s="617"/>
      <c r="Y35" s="617">
        <v>10</v>
      </c>
      <c r="Z35" s="617" t="s">
        <v>105</v>
      </c>
      <c r="AA35" s="619" t="s">
        <v>105</v>
      </c>
    </row>
    <row r="36" spans="1:27" s="571" customFormat="1" ht="25.5" hidden="1">
      <c r="A36" s="570"/>
      <c r="B36" s="725">
        <v>13014</v>
      </c>
      <c r="C36" s="725">
        <v>2322</v>
      </c>
      <c r="D36" s="618"/>
      <c r="E36" s="617"/>
      <c r="F36" s="617"/>
      <c r="G36" s="617" t="s">
        <v>904</v>
      </c>
      <c r="H36" s="617" t="s">
        <v>905</v>
      </c>
      <c r="I36" s="617"/>
      <c r="J36" s="724"/>
      <c r="K36" s="724"/>
      <c r="L36" s="617" t="s">
        <v>906</v>
      </c>
      <c r="M36" s="617">
        <v>9.6999999999999993</v>
      </c>
      <c r="N36" s="617">
        <v>43.649999999999991</v>
      </c>
      <c r="O36" s="617">
        <v>62.357142857142847</v>
      </c>
      <c r="P36" s="617">
        <v>0</v>
      </c>
      <c r="Q36" s="617">
        <v>124.71428571428569</v>
      </c>
      <c r="R36" s="617">
        <v>0</v>
      </c>
      <c r="S36" s="617">
        <v>0</v>
      </c>
      <c r="T36" s="617">
        <v>0</v>
      </c>
      <c r="U36" s="617">
        <v>0</v>
      </c>
      <c r="V36" s="617">
        <v>0</v>
      </c>
      <c r="W36" s="617">
        <v>0</v>
      </c>
      <c r="X36" s="617"/>
      <c r="Y36" s="617">
        <v>10</v>
      </c>
      <c r="Z36" s="617" t="s">
        <v>105</v>
      </c>
      <c r="AA36" s="619" t="s">
        <v>105</v>
      </c>
    </row>
    <row r="37" spans="1:27" s="571" customFormat="1" ht="25.5" hidden="1">
      <c r="A37" s="570"/>
      <c r="B37" s="725">
        <v>13014</v>
      </c>
      <c r="C37" s="725">
        <v>2322</v>
      </c>
      <c r="D37" s="618"/>
      <c r="E37" s="617"/>
      <c r="F37" s="617"/>
      <c r="G37" s="617" t="s">
        <v>904</v>
      </c>
      <c r="H37" s="617" t="s">
        <v>905</v>
      </c>
      <c r="I37" s="617"/>
      <c r="J37" s="724"/>
      <c r="K37" s="724"/>
      <c r="L37" s="617" t="s">
        <v>906</v>
      </c>
      <c r="M37" s="617">
        <v>19.399999999999999</v>
      </c>
      <c r="N37" s="617">
        <v>87.299999999999983</v>
      </c>
      <c r="O37" s="617">
        <v>124.71428571428569</v>
      </c>
      <c r="P37" s="617">
        <v>0</v>
      </c>
      <c r="Q37" s="617">
        <v>249.42857142857139</v>
      </c>
      <c r="R37" s="617">
        <v>0</v>
      </c>
      <c r="S37" s="617">
        <v>0</v>
      </c>
      <c r="T37" s="617">
        <v>0</v>
      </c>
      <c r="U37" s="617">
        <v>0</v>
      </c>
      <c r="V37" s="617">
        <v>0</v>
      </c>
      <c r="W37" s="617">
        <v>0</v>
      </c>
      <c r="X37" s="617"/>
      <c r="Y37" s="617">
        <v>10</v>
      </c>
      <c r="Z37" s="617" t="s">
        <v>105</v>
      </c>
      <c r="AA37" s="619" t="s">
        <v>105</v>
      </c>
    </row>
    <row r="38" spans="1:27" s="571" customFormat="1" ht="25.5" hidden="1">
      <c r="A38" s="570"/>
      <c r="B38" s="725">
        <v>13014</v>
      </c>
      <c r="C38" s="725">
        <v>2321</v>
      </c>
      <c r="D38" s="618"/>
      <c r="E38" s="617"/>
      <c r="F38" s="617"/>
      <c r="G38" s="617" t="s">
        <v>904</v>
      </c>
      <c r="H38" s="617" t="s">
        <v>905</v>
      </c>
      <c r="I38" s="617"/>
      <c r="J38" s="724"/>
      <c r="K38" s="724"/>
      <c r="L38" s="617" t="s">
        <v>906</v>
      </c>
      <c r="M38" s="617">
        <v>2000</v>
      </c>
      <c r="N38" s="617">
        <v>9000</v>
      </c>
      <c r="O38" s="617">
        <v>12857.142857142857</v>
      </c>
      <c r="P38" s="617">
        <v>25714.285714285717</v>
      </c>
      <c r="Q38" s="617">
        <v>0</v>
      </c>
      <c r="R38" s="617">
        <v>0</v>
      </c>
      <c r="S38" s="617">
        <v>0</v>
      </c>
      <c r="T38" s="617">
        <v>0</v>
      </c>
      <c r="U38" s="617">
        <v>0</v>
      </c>
      <c r="V38" s="617">
        <v>0</v>
      </c>
      <c r="W38" s="617">
        <v>0</v>
      </c>
      <c r="X38" s="617"/>
      <c r="Y38" s="617">
        <v>10</v>
      </c>
      <c r="Z38" s="617" t="s">
        <v>105</v>
      </c>
      <c r="AA38" s="619" t="s">
        <v>105</v>
      </c>
    </row>
    <row r="39" spans="1:27" s="571" customFormat="1" ht="25.5" hidden="1">
      <c r="A39" s="570"/>
      <c r="B39" s="725">
        <v>13014</v>
      </c>
      <c r="C39" s="725">
        <v>2321</v>
      </c>
      <c r="D39" s="618"/>
      <c r="E39" s="617"/>
      <c r="F39" s="617"/>
      <c r="G39" s="617" t="s">
        <v>904</v>
      </c>
      <c r="H39" s="617" t="s">
        <v>905</v>
      </c>
      <c r="I39" s="617"/>
      <c r="J39" s="724"/>
      <c r="K39" s="724"/>
      <c r="L39" s="617" t="s">
        <v>906</v>
      </c>
      <c r="M39" s="617">
        <v>1560</v>
      </c>
      <c r="N39" s="617">
        <v>7020</v>
      </c>
      <c r="O39" s="617">
        <v>10028.571428571429</v>
      </c>
      <c r="P39" s="617">
        <v>20057.142857142859</v>
      </c>
      <c r="Q39" s="617">
        <v>0</v>
      </c>
      <c r="R39" s="617">
        <v>0</v>
      </c>
      <c r="S39" s="617">
        <v>0</v>
      </c>
      <c r="T39" s="617">
        <v>0</v>
      </c>
      <c r="U39" s="617">
        <v>0</v>
      </c>
      <c r="V39" s="617">
        <v>0</v>
      </c>
      <c r="W39" s="617">
        <v>0</v>
      </c>
      <c r="X39" s="617"/>
      <c r="Y39" s="617">
        <v>10</v>
      </c>
      <c r="Z39" s="617" t="s">
        <v>105</v>
      </c>
      <c r="AA39" s="619" t="s">
        <v>105</v>
      </c>
    </row>
    <row r="40" spans="1:27" s="571" customFormat="1" ht="25.5" hidden="1">
      <c r="A40" s="570"/>
      <c r="B40" s="725">
        <v>13014</v>
      </c>
      <c r="C40" s="725">
        <v>2328</v>
      </c>
      <c r="D40" s="618"/>
      <c r="E40" s="617"/>
      <c r="F40" s="617"/>
      <c r="G40" s="617" t="s">
        <v>904</v>
      </c>
      <c r="H40" s="617" t="s">
        <v>905</v>
      </c>
      <c r="I40" s="617"/>
      <c r="J40" s="724"/>
      <c r="K40" s="724"/>
      <c r="L40" s="617" t="s">
        <v>906</v>
      </c>
      <c r="M40" s="617">
        <v>609</v>
      </c>
      <c r="N40" s="617">
        <v>2740.5</v>
      </c>
      <c r="O40" s="617">
        <v>3915</v>
      </c>
      <c r="P40" s="617">
        <v>7830.0000000000009</v>
      </c>
      <c r="Q40" s="617">
        <v>0</v>
      </c>
      <c r="R40" s="617">
        <v>0</v>
      </c>
      <c r="S40" s="617">
        <v>0</v>
      </c>
      <c r="T40" s="617">
        <v>0</v>
      </c>
      <c r="U40" s="617">
        <v>0</v>
      </c>
      <c r="V40" s="617">
        <v>0</v>
      </c>
      <c r="W40" s="617">
        <v>0</v>
      </c>
      <c r="X40" s="617"/>
      <c r="Y40" s="617">
        <v>10</v>
      </c>
      <c r="Z40" s="617" t="s">
        <v>105</v>
      </c>
      <c r="AA40" s="619" t="s">
        <v>105</v>
      </c>
    </row>
    <row r="41" spans="1:27" s="571" customFormat="1" ht="25.5" hidden="1">
      <c r="A41" s="570"/>
      <c r="B41" s="725">
        <v>13014</v>
      </c>
      <c r="C41" s="725">
        <v>2328</v>
      </c>
      <c r="D41" s="618"/>
      <c r="E41" s="617"/>
      <c r="F41" s="617"/>
      <c r="G41" s="617" t="s">
        <v>904</v>
      </c>
      <c r="H41" s="617" t="s">
        <v>905</v>
      </c>
      <c r="I41" s="617"/>
      <c r="J41" s="724"/>
      <c r="K41" s="724"/>
      <c r="L41" s="617" t="s">
        <v>906</v>
      </c>
      <c r="M41" s="617">
        <v>772</v>
      </c>
      <c r="N41" s="617">
        <v>3474</v>
      </c>
      <c r="O41" s="617">
        <v>4962.8571428571431</v>
      </c>
      <c r="P41" s="617">
        <v>9925.7142857142862</v>
      </c>
      <c r="Q41" s="617">
        <v>0</v>
      </c>
      <c r="R41" s="617">
        <v>0</v>
      </c>
      <c r="S41" s="617">
        <v>0</v>
      </c>
      <c r="T41" s="617">
        <v>0</v>
      </c>
      <c r="U41" s="617">
        <v>0</v>
      </c>
      <c r="V41" s="617">
        <v>0</v>
      </c>
      <c r="W41" s="617">
        <v>0</v>
      </c>
      <c r="X41" s="617"/>
      <c r="Y41" s="617">
        <v>10</v>
      </c>
      <c r="Z41" s="617" t="s">
        <v>105</v>
      </c>
      <c r="AA41" s="619" t="s">
        <v>105</v>
      </c>
    </row>
    <row r="42" spans="1:27" s="571" customFormat="1" ht="25.5" hidden="1">
      <c r="A42" s="570"/>
      <c r="B42" s="725">
        <v>13014</v>
      </c>
      <c r="C42" s="725">
        <v>2321</v>
      </c>
      <c r="D42" s="618"/>
      <c r="E42" s="617"/>
      <c r="F42" s="617"/>
      <c r="G42" s="617" t="s">
        <v>904</v>
      </c>
      <c r="H42" s="617" t="s">
        <v>905</v>
      </c>
      <c r="I42" s="617"/>
      <c r="J42" s="724"/>
      <c r="K42" s="724"/>
      <c r="L42" s="617" t="s">
        <v>906</v>
      </c>
      <c r="M42" s="617">
        <v>2679</v>
      </c>
      <c r="N42" s="617">
        <v>12055.5</v>
      </c>
      <c r="O42" s="617">
        <v>17222.142857142859</v>
      </c>
      <c r="P42" s="617">
        <v>34444.285714285717</v>
      </c>
      <c r="Q42" s="617">
        <v>0</v>
      </c>
      <c r="R42" s="617">
        <v>0</v>
      </c>
      <c r="S42" s="617">
        <v>0</v>
      </c>
      <c r="T42" s="617">
        <v>0</v>
      </c>
      <c r="U42" s="617">
        <v>0</v>
      </c>
      <c r="V42" s="617">
        <v>0</v>
      </c>
      <c r="W42" s="617">
        <v>0</v>
      </c>
      <c r="X42" s="617"/>
      <c r="Y42" s="617">
        <v>10</v>
      </c>
      <c r="Z42" s="617" t="s">
        <v>105</v>
      </c>
      <c r="AA42" s="619" t="s">
        <v>105</v>
      </c>
    </row>
    <row r="43" spans="1:27" s="555" customFormat="1" hidden="1">
      <c r="A43" s="573" t="s">
        <v>269</v>
      </c>
      <c r="B43" s="574"/>
      <c r="C43" s="574"/>
      <c r="D43" s="574"/>
      <c r="E43" s="574"/>
      <c r="F43" s="574"/>
      <c r="G43" s="574"/>
      <c r="H43" s="574"/>
      <c r="I43" s="574"/>
      <c r="J43" s="574"/>
      <c r="K43" s="574"/>
      <c r="L43" s="575"/>
      <c r="M43" s="575">
        <f>SUM(M28:M42)</f>
        <v>22363.1</v>
      </c>
      <c r="N43" s="575">
        <f>SUM(N28:N42)</f>
        <v>100633.95</v>
      </c>
      <c r="O43" s="575">
        <f>SUM(O28:O42)</f>
        <v>142626.21428571429</v>
      </c>
      <c r="P43" s="575">
        <f>SUM(P28:P42)</f>
        <v>276454.28571428574</v>
      </c>
      <c r="Q43" s="575">
        <f>SUM(Q28:Q42)</f>
        <v>374.14285714285711</v>
      </c>
      <c r="R43" s="575">
        <f>SUM(R28:R42)</f>
        <v>0</v>
      </c>
      <c r="S43" s="575">
        <f>SUM(S28:S42)</f>
        <v>2340</v>
      </c>
      <c r="T43" s="575">
        <f>SUM(T28:T42)</f>
        <v>7020</v>
      </c>
      <c r="U43" s="575">
        <f>SUM(U28:U42)</f>
        <v>0</v>
      </c>
      <c r="V43" s="575">
        <f>SUM(V28:V42)</f>
        <v>0</v>
      </c>
      <c r="W43" s="575">
        <f>SUM(W28:W42)</f>
        <v>0</v>
      </c>
      <c r="X43" s="575"/>
      <c r="Y43" s="576"/>
      <c r="Z43" s="576"/>
      <c r="AA43" s="577"/>
    </row>
    <row r="44" spans="1:27" s="555" customFormat="1">
      <c r="A44" s="573" t="s">
        <v>276</v>
      </c>
      <c r="B44" s="574"/>
      <c r="C44" s="574"/>
      <c r="D44" s="574"/>
      <c r="E44" s="574"/>
      <c r="F44" s="574"/>
      <c r="G44" s="574"/>
      <c r="H44" s="574"/>
      <c r="I44" s="574"/>
      <c r="J44" s="574"/>
      <c r="K44" s="574"/>
      <c r="L44" s="575"/>
      <c r="M44" s="575">
        <f>SUMIF($AA$28:$AA$42,"industrie",M28:M42)</f>
        <v>122</v>
      </c>
      <c r="N44" s="575">
        <f>SUMIF($AA$28:$AA$42,"industrie",N28:N42)</f>
        <v>549</v>
      </c>
      <c r="O44" s="575">
        <f>SUMIF($AA$28:$AA$42,"industrie",O28:O42)</f>
        <v>784.28571428571433</v>
      </c>
      <c r="P44" s="575">
        <f>SUMIF($AA$28:$AA$42,"industrie",P28:P42)</f>
        <v>1568.5714285714287</v>
      </c>
      <c r="Q44" s="575">
        <f>SUMIF($AA$28:$AA$42,"industrie",Q28:Q42)</f>
        <v>0</v>
      </c>
      <c r="R44" s="575">
        <f>SUMIF($AA$28:$AA$42,"industrie",R28:R42)</f>
        <v>0</v>
      </c>
      <c r="S44" s="575">
        <f>SUMIF($AA$28:$AA$42,"industrie",S28:S42)</f>
        <v>0</v>
      </c>
      <c r="T44" s="575">
        <f>SUMIF($AA$28:$AA$42,"industrie",T28:T42)</f>
        <v>0</v>
      </c>
      <c r="U44" s="575">
        <f>SUMIF($AA$28:$AA$42,"industrie",U28:U42)</f>
        <v>0</v>
      </c>
      <c r="V44" s="575">
        <f>SUMIF($AA$28:$AA$42,"industrie",V28:V42)</f>
        <v>0</v>
      </c>
      <c r="W44" s="575">
        <f>SUMIF($AA$28:$AA$42,"industrie",W28:W42)</f>
        <v>0</v>
      </c>
      <c r="X44" s="575"/>
      <c r="Y44" s="576"/>
      <c r="Z44" s="576"/>
      <c r="AA44" s="577"/>
    </row>
    <row r="45" spans="1:27" s="555" customFormat="1">
      <c r="A45" s="573" t="s">
        <v>277</v>
      </c>
      <c r="B45" s="574"/>
      <c r="C45" s="574"/>
      <c r="D45" s="574"/>
      <c r="E45" s="574"/>
      <c r="F45" s="574"/>
      <c r="G45" s="574"/>
      <c r="H45" s="574"/>
      <c r="I45" s="574"/>
      <c r="J45" s="574"/>
      <c r="K45" s="574"/>
      <c r="L45" s="575"/>
      <c r="M45" s="575">
        <f ca="1">SUMIF($AA$28:AD42,"tertiair",M28:M42)</f>
        <v>2000</v>
      </c>
      <c r="N45" s="575">
        <f ca="1">SUMIF($AA$28:AE42,"tertiair",N28:N42)</f>
        <v>9000</v>
      </c>
      <c r="O45" s="575">
        <f ca="1">SUMIF($AA$28:AF42,"tertiair",O28:O42)</f>
        <v>12857.142857142857</v>
      </c>
      <c r="P45" s="575">
        <f ca="1">SUMIF($AA$28:AG42,"tertiair",P28:P42)</f>
        <v>25714.285714285717</v>
      </c>
      <c r="Q45" s="575">
        <f ca="1">SUMIF($AA$28:AH42,"tertiair",Q28:Q42)</f>
        <v>0</v>
      </c>
      <c r="R45" s="575">
        <f ca="1">SUMIF($AA$28:AI42,"tertiair",R28:R42)</f>
        <v>0</v>
      </c>
      <c r="S45" s="575">
        <f ca="1">SUMIF($AA$28:AJ42,"tertiair",S28:S42)</f>
        <v>0</v>
      </c>
      <c r="T45" s="575">
        <f ca="1">SUMIF($AA$28:AK42,"tertiair",T28:T42)</f>
        <v>0</v>
      </c>
      <c r="U45" s="575">
        <f ca="1">SUMIF($AA$28:AL42,"tertiair",U28:U42)</f>
        <v>0</v>
      </c>
      <c r="V45" s="575">
        <f ca="1">SUMIF($AA$28:AM42,"tertiair",V28:V42)</f>
        <v>0</v>
      </c>
      <c r="W45" s="575">
        <f ca="1">SUMIF($AA$28:AN42,"tertiair",W28:W42)</f>
        <v>0</v>
      </c>
      <c r="X45" s="575"/>
      <c r="Y45" s="576"/>
      <c r="Z45" s="576"/>
      <c r="AA45" s="577"/>
    </row>
    <row r="46" spans="1:27" s="555" customFormat="1" ht="15.75" thickBot="1">
      <c r="A46" s="578" t="s">
        <v>278</v>
      </c>
      <c r="B46" s="579"/>
      <c r="C46" s="579"/>
      <c r="D46" s="579"/>
      <c r="E46" s="579"/>
      <c r="F46" s="579"/>
      <c r="G46" s="579"/>
      <c r="H46" s="579"/>
      <c r="I46" s="579"/>
      <c r="J46" s="579"/>
      <c r="K46" s="579"/>
      <c r="L46" s="580"/>
      <c r="M46" s="580">
        <f>SUMIF($AA$28:$AA$42,"landbouw",M28:M42)</f>
        <v>20241.099999999999</v>
      </c>
      <c r="N46" s="580">
        <f>SUMIF($AA$28:$AA$42,"landbouw",N28:N42)</f>
        <v>91084.950000000012</v>
      </c>
      <c r="O46" s="580">
        <f>SUMIF($AA$28:$AA$42,"landbouw",O28:O42)</f>
        <v>128984.78571428572</v>
      </c>
      <c r="P46" s="580">
        <f>SUMIF($AA$28:$AA$42,"landbouw",P28:P42)</f>
        <v>249171.42857142858</v>
      </c>
      <c r="Q46" s="580">
        <f>SUMIF($AA$28:$AA$42,"landbouw",Q28:Q42)</f>
        <v>374.14285714285711</v>
      </c>
      <c r="R46" s="580">
        <f>SUMIF($AA$28:$AA$42,"landbouw",R28:R42)</f>
        <v>0</v>
      </c>
      <c r="S46" s="580">
        <f>SUMIF($AA$28:$AA$42,"landbouw",S28:S42)</f>
        <v>2340</v>
      </c>
      <c r="T46" s="580">
        <f>SUMIF($AA$28:$AA$42,"landbouw",T28:T42)</f>
        <v>7020</v>
      </c>
      <c r="U46" s="580">
        <f>SUMIF($AA$28:$AA$42,"landbouw",U28:U42)</f>
        <v>0</v>
      </c>
      <c r="V46" s="580">
        <f>SUMIF($AA$28:$AA$42,"landbouw",V28:V42)</f>
        <v>0</v>
      </c>
      <c r="W46" s="580">
        <f>SUMIF($AA$28:$AA$42,"landbouw",W28:W42)</f>
        <v>0</v>
      </c>
      <c r="X46" s="580"/>
      <c r="Y46" s="581"/>
      <c r="Z46" s="581"/>
      <c r="AA46" s="582"/>
    </row>
    <row r="47" spans="1:27" s="524" customFormat="1" ht="15.75" thickBot="1">
      <c r="A47" s="583"/>
      <c r="B47" s="584"/>
      <c r="C47" s="584"/>
      <c r="D47" s="584"/>
      <c r="E47" s="584"/>
      <c r="F47" s="584"/>
      <c r="G47" s="584"/>
      <c r="H47" s="584"/>
      <c r="I47" s="584"/>
      <c r="J47" s="584"/>
      <c r="K47" s="584"/>
      <c r="L47" s="567"/>
      <c r="M47" s="567"/>
      <c r="N47" s="567"/>
      <c r="O47" s="568"/>
      <c r="P47" s="568"/>
    </row>
    <row r="48" spans="1:27" s="524" customFormat="1" ht="45">
      <c r="A48" s="585" t="s">
        <v>270</v>
      </c>
      <c r="B48" s="614" t="s">
        <v>89</v>
      </c>
      <c r="C48" s="614" t="s">
        <v>90</v>
      </c>
      <c r="D48" s="614"/>
      <c r="E48" s="614"/>
      <c r="F48" s="614"/>
      <c r="G48" s="614" t="s">
        <v>91</v>
      </c>
      <c r="H48" s="614" t="s">
        <v>92</v>
      </c>
      <c r="I48" s="614"/>
      <c r="J48" s="614"/>
      <c r="K48" s="614"/>
      <c r="L48" s="614" t="s">
        <v>93</v>
      </c>
      <c r="M48" s="615" t="s">
        <v>287</v>
      </c>
      <c r="N48" s="615" t="s">
        <v>94</v>
      </c>
      <c r="O48" s="615" t="s">
        <v>95</v>
      </c>
      <c r="P48" s="615" t="s">
        <v>529</v>
      </c>
      <c r="Q48" s="615" t="s">
        <v>96</v>
      </c>
      <c r="R48" s="615" t="s">
        <v>97</v>
      </c>
      <c r="S48" s="615" t="s">
        <v>98</v>
      </c>
      <c r="T48" s="615" t="s">
        <v>99</v>
      </c>
      <c r="U48" s="615" t="s">
        <v>100</v>
      </c>
      <c r="V48" s="615" t="s">
        <v>101</v>
      </c>
      <c r="W48" s="614" t="s">
        <v>102</v>
      </c>
      <c r="X48" s="614" t="s">
        <v>903</v>
      </c>
      <c r="Y48" s="614" t="s">
        <v>288</v>
      </c>
      <c r="Z48" s="614" t="s">
        <v>103</v>
      </c>
      <c r="AA48" s="616" t="s">
        <v>289</v>
      </c>
    </row>
    <row r="49" spans="1:28" s="586" customFormat="1" ht="63.75" hidden="1">
      <c r="A49" s="572"/>
      <c r="B49" s="725">
        <v>13014</v>
      </c>
      <c r="C49" s="725">
        <v>2320</v>
      </c>
      <c r="D49" s="620"/>
      <c r="E49" s="620"/>
      <c r="F49" s="620"/>
      <c r="G49" s="620" t="s">
        <v>909</v>
      </c>
      <c r="H49" s="620" t="s">
        <v>910</v>
      </c>
      <c r="I49" s="620"/>
      <c r="J49" s="724"/>
      <c r="K49" s="724"/>
      <c r="L49" s="620" t="s">
        <v>911</v>
      </c>
      <c r="M49" s="620">
        <v>298</v>
      </c>
      <c r="N49" s="620">
        <v>1341</v>
      </c>
      <c r="O49" s="620">
        <v>0</v>
      </c>
      <c r="P49" s="620">
        <v>0</v>
      </c>
      <c r="Q49" s="620">
        <v>3831.4285714285716</v>
      </c>
      <c r="R49" s="620">
        <v>0</v>
      </c>
      <c r="S49" s="620">
        <v>0</v>
      </c>
      <c r="T49" s="620">
        <v>0</v>
      </c>
      <c r="U49" s="620">
        <v>0</v>
      </c>
      <c r="V49" s="620">
        <v>0</v>
      </c>
      <c r="W49" s="620">
        <v>0</v>
      </c>
      <c r="X49" s="620"/>
      <c r="Y49" s="620">
        <v>1600</v>
      </c>
      <c r="Z49" s="620" t="s">
        <v>49</v>
      </c>
      <c r="AA49" s="621" t="s">
        <v>149</v>
      </c>
    </row>
    <row r="50" spans="1:28" s="555" customFormat="1" hidden="1">
      <c r="A50" s="573" t="s">
        <v>269</v>
      </c>
      <c r="B50" s="574"/>
      <c r="C50" s="574"/>
      <c r="D50" s="574"/>
      <c r="E50" s="574"/>
      <c r="F50" s="574"/>
      <c r="G50" s="574"/>
      <c r="H50" s="574"/>
      <c r="I50" s="574"/>
      <c r="J50" s="574"/>
      <c r="K50" s="574"/>
      <c r="L50" s="575"/>
      <c r="M50" s="575">
        <f>SUM(M49:M49)</f>
        <v>298</v>
      </c>
      <c r="N50" s="575">
        <f>SUM(N49:N49)</f>
        <v>1341</v>
      </c>
      <c r="O50" s="575">
        <f>SUM(O49:O49)</f>
        <v>0</v>
      </c>
      <c r="P50" s="575">
        <f>SUM(P49:P49)</f>
        <v>0</v>
      </c>
      <c r="Q50" s="575">
        <f>SUM(Q49:Q49)</f>
        <v>3831.4285714285716</v>
      </c>
      <c r="R50" s="575">
        <f>SUM(R49:R49)</f>
        <v>0</v>
      </c>
      <c r="S50" s="575">
        <f>SUM(S49:S49)</f>
        <v>0</v>
      </c>
      <c r="T50" s="575">
        <f>SUM(T49:T49)</f>
        <v>0</v>
      </c>
      <c r="U50" s="575">
        <f>SUM(U49:U49)</f>
        <v>0</v>
      </c>
      <c r="V50" s="575">
        <f>SUM(V49:V49)</f>
        <v>0</v>
      </c>
      <c r="W50" s="575">
        <f>SUM(W49:W49)</f>
        <v>0</v>
      </c>
      <c r="X50" s="575"/>
      <c r="Y50" s="576"/>
      <c r="Z50" s="576"/>
      <c r="AA50" s="577"/>
    </row>
    <row r="51" spans="1:28" s="555" customFormat="1">
      <c r="A51" s="573" t="s">
        <v>276</v>
      </c>
      <c r="B51" s="574"/>
      <c r="C51" s="574"/>
      <c r="D51" s="574"/>
      <c r="E51" s="574"/>
      <c r="F51" s="574"/>
      <c r="G51" s="574"/>
      <c r="H51" s="574"/>
      <c r="I51" s="574"/>
      <c r="J51" s="574"/>
      <c r="K51" s="574"/>
      <c r="L51" s="575"/>
      <c r="M51" s="575">
        <f>SUMIF($AA$49:$AA$49,"industrie",M49:M49)</f>
        <v>0</v>
      </c>
      <c r="N51" s="575">
        <f>SUMIF($AA$49:$AA$49,"industrie",N49:N49)</f>
        <v>0</v>
      </c>
      <c r="O51" s="575">
        <f>SUMIF($AA$49:$AA$49,"industrie",O49:O49)</f>
        <v>0</v>
      </c>
      <c r="P51" s="575">
        <f>SUMIF($AA$49:$AA$49,"industrie",P49:P49)</f>
        <v>0</v>
      </c>
      <c r="Q51" s="575">
        <f>SUMIF($AA$49:$AA$49,"industrie",Q49:Q49)</f>
        <v>0</v>
      </c>
      <c r="R51" s="575">
        <f>SUMIF($AA$49:$AA$49,"industrie",R49:R49)</f>
        <v>0</v>
      </c>
      <c r="S51" s="575">
        <f>SUMIF($AA$49:$AA$49,"industrie",S49:S49)</f>
        <v>0</v>
      </c>
      <c r="T51" s="575">
        <f>SUMIF($AA$49:$AA$49,"industrie",T49:T49)</f>
        <v>0</v>
      </c>
      <c r="U51" s="575">
        <f>SUMIF($AA$49:$AA$49,"industrie",U49:U49)</f>
        <v>0</v>
      </c>
      <c r="V51" s="575">
        <f>SUMIF($AA$49:$AA$49,"industrie",V49:V49)</f>
        <v>0</v>
      </c>
      <c r="W51" s="575">
        <f>SUMIF($AA$49:$AA$49,"industrie",W49:W49)</f>
        <v>0</v>
      </c>
      <c r="X51" s="575"/>
      <c r="Y51" s="576"/>
      <c r="Z51" s="576"/>
      <c r="AA51" s="577"/>
    </row>
    <row r="52" spans="1:28" s="555" customFormat="1">
      <c r="A52" s="573" t="s">
        <v>277</v>
      </c>
      <c r="B52" s="574"/>
      <c r="C52" s="574"/>
      <c r="D52" s="574"/>
      <c r="E52" s="574"/>
      <c r="F52" s="574"/>
      <c r="G52" s="574"/>
      <c r="H52" s="574"/>
      <c r="I52" s="574"/>
      <c r="J52" s="574"/>
      <c r="K52" s="574"/>
      <c r="L52" s="575"/>
      <c r="M52" s="575">
        <f>SUMIF($AA$49:$AA$50,"tertiair",M49:M50)</f>
        <v>298</v>
      </c>
      <c r="N52" s="575">
        <f>SUMIF($AA$49:$AA$50,"tertiair",N49:N50)</f>
        <v>1341</v>
      </c>
      <c r="O52" s="575">
        <f>SUMIF($AA$49:$AA$50,"tertiair",O49:O50)</f>
        <v>0</v>
      </c>
      <c r="P52" s="575">
        <f>SUMIF($AA$49:$AA$50,"tertiair",P49:P50)</f>
        <v>0</v>
      </c>
      <c r="Q52" s="575">
        <f>SUMIF($AA$49:$AA$50,"tertiair",Q49:Q50)</f>
        <v>3831.4285714285716</v>
      </c>
      <c r="R52" s="575">
        <f>SUMIF($AA$49:$AA$50,"tertiair",R49:R50)</f>
        <v>0</v>
      </c>
      <c r="S52" s="575">
        <f>SUMIF($AA$49:$AA$50,"tertiair",S49:S50)</f>
        <v>0</v>
      </c>
      <c r="T52" s="575">
        <f>SUMIF($AA$49:$AA$50,"tertiair",T49:T50)</f>
        <v>0</v>
      </c>
      <c r="U52" s="575">
        <f>SUMIF($AA$49:$AA$50,"tertiair",U49:U50)</f>
        <v>0</v>
      </c>
      <c r="V52" s="575">
        <f>SUMIF($AA$49:$AA$50,"tertiair",V49:V50)</f>
        <v>0</v>
      </c>
      <c r="W52" s="575">
        <f>SUMIF($AA$49:$AA$50,"tertiair",W49:W50)</f>
        <v>0</v>
      </c>
      <c r="X52" s="575"/>
      <c r="Y52" s="576"/>
      <c r="Z52" s="576"/>
      <c r="AA52" s="577"/>
    </row>
    <row r="53" spans="1:28" s="555" customFormat="1" ht="15.75" thickBot="1">
      <c r="A53" s="578" t="s">
        <v>278</v>
      </c>
      <c r="B53" s="579"/>
      <c r="C53" s="579"/>
      <c r="D53" s="579"/>
      <c r="E53" s="579"/>
      <c r="F53" s="579"/>
      <c r="G53" s="579"/>
      <c r="H53" s="579"/>
      <c r="I53" s="579"/>
      <c r="J53" s="579"/>
      <c r="K53" s="579"/>
      <c r="L53" s="580"/>
      <c r="M53" s="580">
        <f>SUMIF($AA$49:$AA$51,"landbouw",M49:M51)</f>
        <v>0</v>
      </c>
      <c r="N53" s="580">
        <f>SUMIF($AA$49:$AA$51,"landbouw",N49:N51)</f>
        <v>0</v>
      </c>
      <c r="O53" s="580">
        <f>SUMIF($AA$49:$AA$51,"landbouw",O49:O51)</f>
        <v>0</v>
      </c>
      <c r="P53" s="580">
        <f>SUMIF($AA$49:$AA$51,"landbouw",P49:P51)</f>
        <v>0</v>
      </c>
      <c r="Q53" s="580">
        <f>SUMIF($AA$49:$AA$51,"landbouw",Q49:Q51)</f>
        <v>0</v>
      </c>
      <c r="R53" s="580">
        <f>SUMIF($AA$49:$AA$51,"landbouw",R49:R51)</f>
        <v>0</v>
      </c>
      <c r="S53" s="580">
        <f>SUMIF($AA$49:$AA$51,"landbouw",S49:S51)</f>
        <v>0</v>
      </c>
      <c r="T53" s="580">
        <f>SUMIF($AA$49:$AA$51,"landbouw",T49:T51)</f>
        <v>0</v>
      </c>
      <c r="U53" s="580">
        <f>SUMIF($AA$49:$AA$51,"landbouw",U49:U51)</f>
        <v>0</v>
      </c>
      <c r="V53" s="580">
        <f>SUMIF($AA$49:$AA$51,"landbouw",V49:V51)</f>
        <v>0</v>
      </c>
      <c r="W53" s="580">
        <f>SUMIF($AA$49:$AA$51,"landbouw",W49:W51)</f>
        <v>0</v>
      </c>
      <c r="X53" s="580"/>
      <c r="Y53" s="581"/>
      <c r="Z53" s="581"/>
      <c r="AA53" s="582"/>
    </row>
    <row r="54" spans="1:28" s="587" customFormat="1">
      <c r="A54" s="583"/>
      <c r="B54" s="567"/>
      <c r="C54" s="567"/>
      <c r="D54" s="567"/>
      <c r="E54" s="567"/>
      <c r="F54" s="567"/>
      <c r="G54" s="567"/>
      <c r="H54" s="567"/>
      <c r="I54" s="567"/>
      <c r="J54" s="567"/>
      <c r="K54" s="567"/>
      <c r="L54" s="567"/>
      <c r="M54" s="567"/>
      <c r="N54" s="567"/>
      <c r="O54" s="567"/>
      <c r="P54" s="567"/>
      <c r="Q54" s="567"/>
      <c r="R54" s="567"/>
      <c r="S54" s="567"/>
      <c r="T54" s="567"/>
      <c r="U54" s="567"/>
      <c r="V54" s="567"/>
      <c r="W54" s="567"/>
      <c r="X54" s="567"/>
      <c r="Y54" s="567"/>
      <c r="Z54" s="567"/>
    </row>
    <row r="55" spans="1:28" s="587" customFormat="1" ht="15.75" thickBot="1">
      <c r="A55" s="583"/>
      <c r="B55" s="567"/>
      <c r="C55" s="567"/>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row>
    <row r="56" spans="1:28">
      <c r="A56" s="588" t="s">
        <v>271</v>
      </c>
      <c r="B56" s="589"/>
      <c r="C56" s="589"/>
      <c r="D56" s="589"/>
      <c r="E56" s="589"/>
      <c r="F56" s="589"/>
      <c r="G56" s="589"/>
      <c r="H56" s="589"/>
      <c r="I56" s="590"/>
      <c r="J56" s="591"/>
      <c r="K56" s="591"/>
      <c r="L56" s="592"/>
      <c r="M56" s="592"/>
      <c r="N56" s="592"/>
      <c r="O56" s="592"/>
      <c r="P56" s="592"/>
    </row>
    <row r="57" spans="1:28">
      <c r="A57" s="594"/>
      <c r="B57" s="584"/>
      <c r="C57" s="584"/>
      <c r="D57" s="584"/>
      <c r="E57" s="584"/>
      <c r="F57" s="584"/>
      <c r="G57" s="584"/>
      <c r="H57" s="584"/>
      <c r="I57" s="595"/>
      <c r="J57" s="584"/>
      <c r="K57" s="584"/>
      <c r="L57" s="592"/>
      <c r="M57" s="592"/>
      <c r="N57" s="592"/>
      <c r="O57" s="592"/>
      <c r="P57" s="592"/>
    </row>
    <row r="58" spans="1:28">
      <c r="A58" s="596"/>
      <c r="B58" s="597" t="s">
        <v>272</v>
      </c>
      <c r="C58" s="597" t="s">
        <v>273</v>
      </c>
      <c r="D58" s="597"/>
      <c r="E58" s="597"/>
      <c r="F58" s="597"/>
      <c r="G58" s="597"/>
      <c r="H58" s="597"/>
      <c r="I58" s="598"/>
      <c r="J58" s="597"/>
      <c r="K58" s="597"/>
      <c r="L58" s="597"/>
      <c r="M58" s="597"/>
      <c r="N58" s="597"/>
      <c r="O58" s="597"/>
      <c r="P58" s="592"/>
    </row>
    <row r="59" spans="1:28">
      <c r="A59" s="594" t="s">
        <v>269</v>
      </c>
      <c r="B59" s="599">
        <f>IF(ISERROR(O43/(O43+N43)),0,O43/(O43+N43))</f>
        <v>0.58631142795002289</v>
      </c>
      <c r="C59" s="600">
        <f>IF(ISERROR(N43/(O43+N43)),0,N43/(N43+O43))</f>
        <v>0.41368857204997717</v>
      </c>
      <c r="D59" s="567"/>
      <c r="E59" s="567"/>
      <c r="F59" s="567"/>
      <c r="G59" s="567"/>
      <c r="H59" s="567"/>
      <c r="I59" s="601"/>
      <c r="J59" s="567"/>
      <c r="K59" s="567"/>
      <c r="L59" s="602"/>
      <c r="M59" s="602"/>
      <c r="N59" s="602"/>
      <c r="O59" s="602"/>
      <c r="P59" s="592"/>
    </row>
    <row r="60" spans="1:28">
      <c r="A60" s="594"/>
      <c r="B60" s="603"/>
      <c r="C60" s="603"/>
      <c r="D60" s="603"/>
      <c r="E60" s="603"/>
      <c r="F60" s="603"/>
      <c r="G60" s="603"/>
      <c r="H60" s="603"/>
      <c r="I60" s="604"/>
      <c r="J60" s="603"/>
      <c r="K60" s="603"/>
      <c r="L60" s="605"/>
      <c r="M60" s="605"/>
      <c r="N60" s="605"/>
      <c r="O60" s="605"/>
      <c r="P60" s="592"/>
    </row>
    <row r="61" spans="1:28" ht="30">
      <c r="A61" s="606"/>
      <c r="B61" s="607" t="s">
        <v>529</v>
      </c>
      <c r="C61" s="607" t="s">
        <v>96</v>
      </c>
      <c r="D61" s="607" t="s">
        <v>97</v>
      </c>
      <c r="E61" s="607" t="s">
        <v>98</v>
      </c>
      <c r="F61" s="607" t="s">
        <v>99</v>
      </c>
      <c r="G61" s="607" t="s">
        <v>100</v>
      </c>
      <c r="H61" s="607" t="s">
        <v>101</v>
      </c>
      <c r="I61" s="608" t="s">
        <v>102</v>
      </c>
      <c r="J61" s="597"/>
      <c r="K61" s="597"/>
      <c r="L61" s="605"/>
      <c r="M61" s="605"/>
      <c r="N61" s="605"/>
      <c r="O61" s="592"/>
      <c r="P61" s="592"/>
    </row>
    <row r="62" spans="1:28">
      <c r="A62" s="596" t="s">
        <v>274</v>
      </c>
      <c r="B62" s="609">
        <f t="shared" ref="B62:I62" si="2">$C$59*P43</f>
        <v>114365.97869423927</v>
      </c>
      <c r="C62" s="609">
        <f t="shared" si="2"/>
        <v>154.77862431412717</v>
      </c>
      <c r="D62" s="609">
        <f t="shared" si="2"/>
        <v>0</v>
      </c>
      <c r="E62" s="609">
        <f t="shared" si="2"/>
        <v>968.0312585969466</v>
      </c>
      <c r="F62" s="609">
        <f t="shared" si="2"/>
        <v>2904.0937757908396</v>
      </c>
      <c r="G62" s="609">
        <f t="shared" si="2"/>
        <v>0</v>
      </c>
      <c r="H62" s="609">
        <f t="shared" si="2"/>
        <v>0</v>
      </c>
      <c r="I62" s="610">
        <f t="shared" si="2"/>
        <v>0</v>
      </c>
      <c r="J62" s="567"/>
      <c r="K62" s="567"/>
      <c r="L62" s="605"/>
      <c r="M62" s="605"/>
      <c r="N62" s="605"/>
      <c r="O62" s="592"/>
      <c r="P62" s="592"/>
    </row>
    <row r="63" spans="1:28" ht="15.75" thickBot="1">
      <c r="A63" s="611" t="s">
        <v>275</v>
      </c>
      <c r="B63" s="612">
        <f t="shared" ref="B63:I63" si="3">$B$59*P43</f>
        <v>162088.30702004649</v>
      </c>
      <c r="C63" s="612">
        <f t="shared" si="3"/>
        <v>219.36423282872997</v>
      </c>
      <c r="D63" s="612">
        <f t="shared" si="3"/>
        <v>0</v>
      </c>
      <c r="E63" s="612">
        <f t="shared" si="3"/>
        <v>1371.9687414030536</v>
      </c>
      <c r="F63" s="612">
        <f t="shared" si="3"/>
        <v>4115.9062242091604</v>
      </c>
      <c r="G63" s="612">
        <f t="shared" si="3"/>
        <v>0</v>
      </c>
      <c r="H63" s="612">
        <f t="shared" si="3"/>
        <v>0</v>
      </c>
      <c r="I63" s="613">
        <f t="shared" si="3"/>
        <v>0</v>
      </c>
      <c r="J63" s="567"/>
      <c r="K63" s="567"/>
      <c r="L63" s="605"/>
      <c r="M63" s="605"/>
      <c r="N63" s="605"/>
      <c r="O63" s="592"/>
      <c r="P63" s="592"/>
    </row>
    <row r="64" spans="1:28">
      <c r="J64" s="553"/>
      <c r="K64" s="553"/>
      <c r="L64" s="553"/>
      <c r="M64" s="553"/>
      <c r="N64" s="553"/>
    </row>
    <row r="65" spans="10:14">
      <c r="J65" s="553"/>
      <c r="K65" s="553"/>
      <c r="L65" s="553"/>
      <c r="M65" s="553"/>
      <c r="N65"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60095.664899999996</v>
      </c>
      <c r="D10" s="943">
        <f ca="1">tertiair!C16</f>
        <v>12857.142857142857</v>
      </c>
      <c r="E10" s="943">
        <f ca="1">tertiair!D16</f>
        <v>30788.567318456597</v>
      </c>
      <c r="F10" s="943">
        <f>tertiair!E16</f>
        <v>693.77469835863462</v>
      </c>
      <c r="G10" s="943">
        <f ca="1">tertiair!F16</f>
        <v>11266.9020870616</v>
      </c>
      <c r="H10" s="943">
        <f>tertiair!G16</f>
        <v>0</v>
      </c>
      <c r="I10" s="943">
        <f>tertiair!H16</f>
        <v>0</v>
      </c>
      <c r="J10" s="943">
        <f>tertiair!I16</f>
        <v>0</v>
      </c>
      <c r="K10" s="943">
        <f>tertiair!J16</f>
        <v>0</v>
      </c>
      <c r="L10" s="943">
        <f>tertiair!K16</f>
        <v>0</v>
      </c>
      <c r="M10" s="943">
        <f ca="1">tertiair!L16</f>
        <v>0</v>
      </c>
      <c r="N10" s="943">
        <f>tertiair!M16</f>
        <v>0</v>
      </c>
      <c r="O10" s="943">
        <f ca="1">tertiair!N16</f>
        <v>0</v>
      </c>
      <c r="P10" s="943">
        <f>tertiair!O16</f>
        <v>4.6900000000000004</v>
      </c>
      <c r="Q10" s="944">
        <f>tertiair!P16</f>
        <v>76.266666666666666</v>
      </c>
      <c r="R10" s="629">
        <f ca="1">SUM(C10:Q10)</f>
        <v>115783.00852768635</v>
      </c>
      <c r="S10" s="67"/>
    </row>
    <row r="11" spans="1:19" s="438" customFormat="1">
      <c r="A11" s="737" t="s">
        <v>214</v>
      </c>
      <c r="B11" s="742"/>
      <c r="C11" s="943">
        <f>huishoudens!B8</f>
        <v>39081.369182587085</v>
      </c>
      <c r="D11" s="943">
        <f>huishoudens!C8</f>
        <v>0</v>
      </c>
      <c r="E11" s="943">
        <f>huishoudens!D8</f>
        <v>82670.54046217908</v>
      </c>
      <c r="F11" s="943">
        <f>huishoudens!E8</f>
        <v>1437.2319228963272</v>
      </c>
      <c r="G11" s="943">
        <f>huishoudens!F8</f>
        <v>45340.183283629689</v>
      </c>
      <c r="H11" s="943">
        <f>huishoudens!G8</f>
        <v>0</v>
      </c>
      <c r="I11" s="943">
        <f>huishoudens!H8</f>
        <v>0</v>
      </c>
      <c r="J11" s="943">
        <f>huishoudens!I8</f>
        <v>0</v>
      </c>
      <c r="K11" s="943">
        <f>huishoudens!J8</f>
        <v>1057.3313613847747</v>
      </c>
      <c r="L11" s="943">
        <f>huishoudens!K8</f>
        <v>0</v>
      </c>
      <c r="M11" s="943">
        <f>huishoudens!L8</f>
        <v>0</v>
      </c>
      <c r="N11" s="943">
        <f>huishoudens!M8</f>
        <v>0</v>
      </c>
      <c r="O11" s="943">
        <f>huishoudens!N8</f>
        <v>9349.8562123151969</v>
      </c>
      <c r="P11" s="943">
        <f>huishoudens!O8</f>
        <v>404.90333333333331</v>
      </c>
      <c r="Q11" s="944">
        <f>huishoudens!P8</f>
        <v>1277.4666666666667</v>
      </c>
      <c r="R11" s="629">
        <f>SUM(C11:Q11)</f>
        <v>180618.88242499216</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97542.398719999997</v>
      </c>
      <c r="D13" s="943">
        <f>industrie!C18</f>
        <v>784.28571428571433</v>
      </c>
      <c r="E13" s="943">
        <f>industrie!D18</f>
        <v>61041.777789546184</v>
      </c>
      <c r="F13" s="943">
        <f>industrie!E18</f>
        <v>6250.0513993939203</v>
      </c>
      <c r="G13" s="943">
        <f>industrie!F18</f>
        <v>31410.598178061817</v>
      </c>
      <c r="H13" s="943">
        <f>industrie!G18</f>
        <v>0</v>
      </c>
      <c r="I13" s="943">
        <f>industrie!H18</f>
        <v>0</v>
      </c>
      <c r="J13" s="943">
        <f>industrie!I18</f>
        <v>0</v>
      </c>
      <c r="K13" s="943">
        <f>industrie!J18</f>
        <v>429.72817477012524</v>
      </c>
      <c r="L13" s="943">
        <f>industrie!K18</f>
        <v>0</v>
      </c>
      <c r="M13" s="943">
        <f>industrie!L18</f>
        <v>0</v>
      </c>
      <c r="N13" s="943">
        <f>industrie!M18</f>
        <v>0</v>
      </c>
      <c r="O13" s="943">
        <f>industrie!N18</f>
        <v>7125.8710282524371</v>
      </c>
      <c r="P13" s="943">
        <f>industrie!O18</f>
        <v>0</v>
      </c>
      <c r="Q13" s="944">
        <f>industrie!P18</f>
        <v>0</v>
      </c>
      <c r="R13" s="629">
        <f>SUM(C13:Q13)</f>
        <v>204584.7110043102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196719.43280258708</v>
      </c>
      <c r="D16" s="661">
        <f t="shared" ref="D16:R16" ca="1" si="0">SUM(D9:D15)</f>
        <v>13641.428571428571</v>
      </c>
      <c r="E16" s="661">
        <f t="shared" ca="1" si="0"/>
        <v>174500.88557018185</v>
      </c>
      <c r="F16" s="661">
        <f t="shared" si="0"/>
        <v>8381.0580206488812</v>
      </c>
      <c r="G16" s="661">
        <f t="shared" ca="1" si="0"/>
        <v>88017.683548753106</v>
      </c>
      <c r="H16" s="661">
        <f t="shared" si="0"/>
        <v>0</v>
      </c>
      <c r="I16" s="661">
        <f t="shared" si="0"/>
        <v>0</v>
      </c>
      <c r="J16" s="661">
        <f t="shared" si="0"/>
        <v>0</v>
      </c>
      <c r="K16" s="661">
        <f t="shared" si="0"/>
        <v>1487.0595361548999</v>
      </c>
      <c r="L16" s="661">
        <f t="shared" si="0"/>
        <v>0</v>
      </c>
      <c r="M16" s="661">
        <f t="shared" ca="1" si="0"/>
        <v>0</v>
      </c>
      <c r="N16" s="661">
        <f t="shared" si="0"/>
        <v>0</v>
      </c>
      <c r="O16" s="661">
        <f t="shared" ca="1" si="0"/>
        <v>16475.727240567634</v>
      </c>
      <c r="P16" s="661">
        <f t="shared" si="0"/>
        <v>409.59333333333331</v>
      </c>
      <c r="Q16" s="661">
        <f t="shared" si="0"/>
        <v>1353.7333333333333</v>
      </c>
      <c r="R16" s="661">
        <f t="shared" ca="1" si="0"/>
        <v>500986.60195698868</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9.1837026365860961</v>
      </c>
      <c r="D19" s="943">
        <f>transport!C54</f>
        <v>0</v>
      </c>
      <c r="E19" s="943">
        <f>transport!D54</f>
        <v>0</v>
      </c>
      <c r="F19" s="943">
        <f>transport!E54</f>
        <v>0</v>
      </c>
      <c r="G19" s="943">
        <f>transport!F54</f>
        <v>0</v>
      </c>
      <c r="H19" s="943">
        <f>transport!G54</f>
        <v>1740.1905059688365</v>
      </c>
      <c r="I19" s="943">
        <f>transport!H54</f>
        <v>0</v>
      </c>
      <c r="J19" s="943">
        <f>transport!I54</f>
        <v>0</v>
      </c>
      <c r="K19" s="943">
        <f>transport!J54</f>
        <v>0</v>
      </c>
      <c r="L19" s="943">
        <f>transport!K54</f>
        <v>0</v>
      </c>
      <c r="M19" s="943">
        <f>transport!L54</f>
        <v>0</v>
      </c>
      <c r="N19" s="943">
        <f>transport!M54</f>
        <v>100.17934975587558</v>
      </c>
      <c r="O19" s="943">
        <f>transport!N54</f>
        <v>0</v>
      </c>
      <c r="P19" s="943">
        <f>transport!O54</f>
        <v>0</v>
      </c>
      <c r="Q19" s="944">
        <f>transport!P54</f>
        <v>0</v>
      </c>
      <c r="R19" s="629">
        <f>SUM(C19:Q19)</f>
        <v>1849.5535583612982</v>
      </c>
      <c r="S19" s="67"/>
    </row>
    <row r="20" spans="1:19" s="438" customFormat="1">
      <c r="A20" s="737" t="s">
        <v>296</v>
      </c>
      <c r="B20" s="742"/>
      <c r="C20" s="943">
        <f>transport!B14</f>
        <v>39.631096465166173</v>
      </c>
      <c r="D20" s="943">
        <f>transport!C14</f>
        <v>0</v>
      </c>
      <c r="E20" s="943">
        <f>transport!D14</f>
        <v>56.910947210827317</v>
      </c>
      <c r="F20" s="943">
        <f>transport!E14</f>
        <v>612.3309342436587</v>
      </c>
      <c r="G20" s="943">
        <f>transport!F14</f>
        <v>0</v>
      </c>
      <c r="H20" s="943">
        <f>transport!G14</f>
        <v>252801.87612444122</v>
      </c>
      <c r="I20" s="943">
        <f>transport!H14</f>
        <v>35705.401398757553</v>
      </c>
      <c r="J20" s="943">
        <f>transport!I14</f>
        <v>0</v>
      </c>
      <c r="K20" s="943">
        <f>transport!J14</f>
        <v>0</v>
      </c>
      <c r="L20" s="943">
        <f>transport!K14</f>
        <v>0</v>
      </c>
      <c r="M20" s="943">
        <f>transport!L14</f>
        <v>0</v>
      </c>
      <c r="N20" s="943">
        <f>transport!M14</f>
        <v>15745.849476604153</v>
      </c>
      <c r="O20" s="943">
        <f>transport!N14</f>
        <v>0</v>
      </c>
      <c r="P20" s="943">
        <f>transport!O14</f>
        <v>0</v>
      </c>
      <c r="Q20" s="944">
        <f>transport!P14</f>
        <v>0</v>
      </c>
      <c r="R20" s="629">
        <f>SUM(C20:Q20)</f>
        <v>304961.99997772253</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48.814799101752271</v>
      </c>
      <c r="D22" s="740">
        <f t="shared" ref="D22:R22" si="1">SUM(D18:D21)</f>
        <v>0</v>
      </c>
      <c r="E22" s="740">
        <f t="shared" si="1"/>
        <v>56.910947210827317</v>
      </c>
      <c r="F22" s="740">
        <f t="shared" si="1"/>
        <v>612.3309342436587</v>
      </c>
      <c r="G22" s="740">
        <f t="shared" si="1"/>
        <v>0</v>
      </c>
      <c r="H22" s="740">
        <f t="shared" si="1"/>
        <v>254542.06663041006</v>
      </c>
      <c r="I22" s="740">
        <f t="shared" si="1"/>
        <v>35705.401398757553</v>
      </c>
      <c r="J22" s="740">
        <f t="shared" si="1"/>
        <v>0</v>
      </c>
      <c r="K22" s="740">
        <f t="shared" si="1"/>
        <v>0</v>
      </c>
      <c r="L22" s="740">
        <f t="shared" si="1"/>
        <v>0</v>
      </c>
      <c r="M22" s="740">
        <f t="shared" si="1"/>
        <v>0</v>
      </c>
      <c r="N22" s="740">
        <f t="shared" si="1"/>
        <v>15846.028826360029</v>
      </c>
      <c r="O22" s="740">
        <f t="shared" si="1"/>
        <v>0</v>
      </c>
      <c r="P22" s="740">
        <f t="shared" si="1"/>
        <v>0</v>
      </c>
      <c r="Q22" s="740">
        <f t="shared" si="1"/>
        <v>0</v>
      </c>
      <c r="R22" s="740">
        <f t="shared" si="1"/>
        <v>306811.55353608384</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21169.072</v>
      </c>
      <c r="D24" s="943">
        <f>+landbouw!C8</f>
        <v>128984.78571428572</v>
      </c>
      <c r="E24" s="943">
        <f>+landbouw!D8</f>
        <v>0</v>
      </c>
      <c r="F24" s="943">
        <f>+landbouw!E8</f>
        <v>453.93982940464105</v>
      </c>
      <c r="G24" s="943">
        <f>+landbouw!F8</f>
        <v>66325.686279170011</v>
      </c>
      <c r="H24" s="943">
        <f>+landbouw!G8</f>
        <v>0</v>
      </c>
      <c r="I24" s="943">
        <f>+landbouw!H8</f>
        <v>0</v>
      </c>
      <c r="J24" s="943">
        <f>+landbouw!I8</f>
        <v>0</v>
      </c>
      <c r="K24" s="943">
        <f>+landbouw!J8</f>
        <v>2039.6512746396952</v>
      </c>
      <c r="L24" s="943">
        <f>+landbouw!K8</f>
        <v>0</v>
      </c>
      <c r="M24" s="943">
        <f>+landbouw!L8</f>
        <v>0</v>
      </c>
      <c r="N24" s="943">
        <f>+landbouw!M8</f>
        <v>0</v>
      </c>
      <c r="O24" s="943">
        <f>+landbouw!N8</f>
        <v>0</v>
      </c>
      <c r="P24" s="943">
        <f>+landbouw!O8</f>
        <v>0</v>
      </c>
      <c r="Q24" s="944">
        <f>+landbouw!P8</f>
        <v>0</v>
      </c>
      <c r="R24" s="629">
        <f>SUM(C24:Q24)</f>
        <v>218973.13509750008</v>
      </c>
      <c r="S24" s="67"/>
    </row>
    <row r="25" spans="1:19" s="438" customFormat="1" ht="15" thickBot="1">
      <c r="A25" s="759" t="s">
        <v>802</v>
      </c>
      <c r="B25" s="946"/>
      <c r="C25" s="947">
        <f>IF(Onbekend_ele_kWh="---",0,Onbekend_ele_kWh)/1000+IF(REST_rest_ele_kWh="---",0,REST_rest_ele_kWh)/1000</f>
        <v>1459.9449999999999</v>
      </c>
      <c r="D25" s="947"/>
      <c r="E25" s="947">
        <f>IF(onbekend_gas_kWh="---",0,onbekend_gas_kWh)/1000+IF(REST_rest_gas_kWh="---",0,REST_rest_gas_kWh)/1000</f>
        <v>2178.3566622067096</v>
      </c>
      <c r="F25" s="947"/>
      <c r="G25" s="947"/>
      <c r="H25" s="947"/>
      <c r="I25" s="947"/>
      <c r="J25" s="947"/>
      <c r="K25" s="947"/>
      <c r="L25" s="947"/>
      <c r="M25" s="947"/>
      <c r="N25" s="947"/>
      <c r="O25" s="947"/>
      <c r="P25" s="947"/>
      <c r="Q25" s="948"/>
      <c r="R25" s="629">
        <f>SUM(C25:Q25)</f>
        <v>3638.3016622067098</v>
      </c>
      <c r="S25" s="67"/>
    </row>
    <row r="26" spans="1:19" s="438" customFormat="1" ht="15.75" thickBot="1">
      <c r="A26" s="634" t="s">
        <v>803</v>
      </c>
      <c r="B26" s="745"/>
      <c r="C26" s="740">
        <f>SUM(C24:C25)</f>
        <v>22629.017</v>
      </c>
      <c r="D26" s="740">
        <f t="shared" ref="D26:R26" si="2">SUM(D24:D25)</f>
        <v>128984.78571428572</v>
      </c>
      <c r="E26" s="740">
        <f t="shared" si="2"/>
        <v>2178.3566622067096</v>
      </c>
      <c r="F26" s="740">
        <f t="shared" si="2"/>
        <v>453.93982940464105</v>
      </c>
      <c r="G26" s="740">
        <f t="shared" si="2"/>
        <v>66325.686279170011</v>
      </c>
      <c r="H26" s="740">
        <f t="shared" si="2"/>
        <v>0</v>
      </c>
      <c r="I26" s="740">
        <f t="shared" si="2"/>
        <v>0</v>
      </c>
      <c r="J26" s="740">
        <f t="shared" si="2"/>
        <v>0</v>
      </c>
      <c r="K26" s="740">
        <f t="shared" si="2"/>
        <v>2039.6512746396952</v>
      </c>
      <c r="L26" s="740">
        <f t="shared" si="2"/>
        <v>0</v>
      </c>
      <c r="M26" s="740">
        <f t="shared" si="2"/>
        <v>0</v>
      </c>
      <c r="N26" s="740">
        <f t="shared" si="2"/>
        <v>0</v>
      </c>
      <c r="O26" s="740">
        <f t="shared" si="2"/>
        <v>0</v>
      </c>
      <c r="P26" s="740">
        <f t="shared" si="2"/>
        <v>0</v>
      </c>
      <c r="Q26" s="740">
        <f t="shared" si="2"/>
        <v>0</v>
      </c>
      <c r="R26" s="740">
        <f t="shared" si="2"/>
        <v>222611.43675970679</v>
      </c>
      <c r="S26" s="67"/>
    </row>
    <row r="27" spans="1:19" s="438" customFormat="1" ht="17.25" thickTop="1" thickBot="1">
      <c r="A27" s="635" t="s">
        <v>109</v>
      </c>
      <c r="B27" s="733"/>
      <c r="C27" s="636">
        <f ca="1">C22+C16+C26</f>
        <v>219397.26460168883</v>
      </c>
      <c r="D27" s="636">
        <f t="shared" ref="D27:R27" ca="1" si="3">D22+D16+D26</f>
        <v>142626.21428571429</v>
      </c>
      <c r="E27" s="636">
        <f t="shared" ca="1" si="3"/>
        <v>176736.15317959938</v>
      </c>
      <c r="F27" s="636">
        <f t="shared" si="3"/>
        <v>9447.3287842971804</v>
      </c>
      <c r="G27" s="636">
        <f t="shared" ca="1" si="3"/>
        <v>154343.36982792313</v>
      </c>
      <c r="H27" s="636">
        <f t="shared" si="3"/>
        <v>254542.06663041006</v>
      </c>
      <c r="I27" s="636">
        <f t="shared" si="3"/>
        <v>35705.401398757553</v>
      </c>
      <c r="J27" s="636">
        <f t="shared" si="3"/>
        <v>0</v>
      </c>
      <c r="K27" s="636">
        <f t="shared" si="3"/>
        <v>3526.7108107945951</v>
      </c>
      <c r="L27" s="636">
        <f t="shared" si="3"/>
        <v>0</v>
      </c>
      <c r="M27" s="636">
        <f t="shared" ca="1" si="3"/>
        <v>0</v>
      </c>
      <c r="N27" s="636">
        <f t="shared" si="3"/>
        <v>15846.028826360029</v>
      </c>
      <c r="O27" s="636">
        <f t="shared" ca="1" si="3"/>
        <v>16475.727240567634</v>
      </c>
      <c r="P27" s="636">
        <f t="shared" si="3"/>
        <v>409.59333333333331</v>
      </c>
      <c r="Q27" s="636">
        <f t="shared" si="3"/>
        <v>1353.7333333333333</v>
      </c>
      <c r="R27" s="636">
        <f t="shared" ca="1" si="3"/>
        <v>1030409.5922527793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11717.360046990021</v>
      </c>
      <c r="D40" s="943">
        <f ca="1">tertiair!C20</f>
        <v>2984.5583690839849</v>
      </c>
      <c r="E40" s="943">
        <f ca="1">tertiair!D20</f>
        <v>6219.2905983282326</v>
      </c>
      <c r="F40" s="943">
        <f>tertiair!E20</f>
        <v>157.48685652741005</v>
      </c>
      <c r="G40" s="943">
        <f ca="1">tertiair!F20</f>
        <v>3008.2628572454473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24086.958728175094</v>
      </c>
    </row>
    <row r="41" spans="1:18">
      <c r="A41" s="750" t="s">
        <v>214</v>
      </c>
      <c r="B41" s="757"/>
      <c r="C41" s="943">
        <f ca="1">huishoudens!B12</f>
        <v>7620.025081737851</v>
      </c>
      <c r="D41" s="943">
        <f ca="1">huishoudens!C12</f>
        <v>0</v>
      </c>
      <c r="E41" s="943">
        <f>huishoudens!D12</f>
        <v>16699.449173360175</v>
      </c>
      <c r="F41" s="943">
        <f>huishoudens!E12</f>
        <v>326.25164649746631</v>
      </c>
      <c r="G41" s="943">
        <f>huishoudens!F12</f>
        <v>12105.828936729127</v>
      </c>
      <c r="H41" s="943">
        <f>huishoudens!G12</f>
        <v>0</v>
      </c>
      <c r="I41" s="943">
        <f>huishoudens!H12</f>
        <v>0</v>
      </c>
      <c r="J41" s="943">
        <f>huishoudens!I12</f>
        <v>0</v>
      </c>
      <c r="K41" s="943">
        <f>huishoudens!J12</f>
        <v>374.2953019302102</v>
      </c>
      <c r="L41" s="943">
        <f>huishoudens!K12</f>
        <v>0</v>
      </c>
      <c r="M41" s="943">
        <f>huishoudens!L12</f>
        <v>0</v>
      </c>
      <c r="N41" s="943">
        <f>huishoudens!M12</f>
        <v>0</v>
      </c>
      <c r="O41" s="943">
        <f>huishoudens!N12</f>
        <v>0</v>
      </c>
      <c r="P41" s="943">
        <f>huishoudens!O12</f>
        <v>0</v>
      </c>
      <c r="Q41" s="703">
        <f>huishoudens!P12</f>
        <v>0</v>
      </c>
      <c r="R41" s="778">
        <f t="shared" ca="1" si="4"/>
        <v>37125.850140254828</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19018.666447091739</v>
      </c>
      <c r="D43" s="943">
        <f ca="1">industrie!C22</f>
        <v>182.0580605141231</v>
      </c>
      <c r="E43" s="943">
        <f>industrie!D22</f>
        <v>12330.43911348833</v>
      </c>
      <c r="F43" s="943">
        <f>industrie!E22</f>
        <v>1418.76166766242</v>
      </c>
      <c r="G43" s="943">
        <f>industrie!F22</f>
        <v>8386.6297135425048</v>
      </c>
      <c r="H43" s="943">
        <f>industrie!G22</f>
        <v>0</v>
      </c>
      <c r="I43" s="943">
        <f>industrie!H22</f>
        <v>0</v>
      </c>
      <c r="J43" s="943">
        <f>industrie!I22</f>
        <v>0</v>
      </c>
      <c r="K43" s="943">
        <f>industrie!J22</f>
        <v>152.12377386862431</v>
      </c>
      <c r="L43" s="943">
        <f>industrie!K22</f>
        <v>0</v>
      </c>
      <c r="M43" s="943">
        <f>industrie!L22</f>
        <v>0</v>
      </c>
      <c r="N43" s="943">
        <f>industrie!M22</f>
        <v>0</v>
      </c>
      <c r="O43" s="943">
        <f>industrie!N22</f>
        <v>0</v>
      </c>
      <c r="P43" s="943">
        <f>industrie!O22</f>
        <v>0</v>
      </c>
      <c r="Q43" s="703">
        <f>industrie!P22</f>
        <v>0</v>
      </c>
      <c r="R43" s="777">
        <f t="shared" ca="1" si="4"/>
        <v>41488.678776167741</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38356.051575819612</v>
      </c>
      <c r="D46" s="661">
        <f t="shared" ref="D46:Q46" ca="1" si="5">SUM(D39:D45)</f>
        <v>3166.616429598108</v>
      </c>
      <c r="E46" s="661">
        <f t="shared" ca="1" si="5"/>
        <v>35249.178885176734</v>
      </c>
      <c r="F46" s="661">
        <f t="shared" si="5"/>
        <v>1902.5001706872963</v>
      </c>
      <c r="G46" s="661">
        <f t="shared" ca="1" si="5"/>
        <v>23500.721507517079</v>
      </c>
      <c r="H46" s="661">
        <f t="shared" si="5"/>
        <v>0</v>
      </c>
      <c r="I46" s="661">
        <f t="shared" si="5"/>
        <v>0</v>
      </c>
      <c r="J46" s="661">
        <f t="shared" si="5"/>
        <v>0</v>
      </c>
      <c r="K46" s="661">
        <f t="shared" si="5"/>
        <v>526.41907579883446</v>
      </c>
      <c r="L46" s="661">
        <f t="shared" si="5"/>
        <v>0</v>
      </c>
      <c r="M46" s="661">
        <f t="shared" ca="1" si="5"/>
        <v>0</v>
      </c>
      <c r="N46" s="661">
        <f t="shared" si="5"/>
        <v>0</v>
      </c>
      <c r="O46" s="661">
        <f t="shared" ca="1" si="5"/>
        <v>0</v>
      </c>
      <c r="P46" s="661">
        <f t="shared" si="5"/>
        <v>0</v>
      </c>
      <c r="Q46" s="661">
        <f t="shared" si="5"/>
        <v>0</v>
      </c>
      <c r="R46" s="661">
        <f ca="1">SUM(R39:R45)</f>
        <v>102701.48764459766</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1.7906241745795353</v>
      </c>
      <c r="D49" s="943">
        <f ca="1">transport!C58</f>
        <v>0</v>
      </c>
      <c r="E49" s="943">
        <f>transport!D58</f>
        <v>0</v>
      </c>
      <c r="F49" s="943">
        <f>transport!E58</f>
        <v>0</v>
      </c>
      <c r="G49" s="943">
        <f>transport!F58</f>
        <v>0</v>
      </c>
      <c r="H49" s="943">
        <f>transport!G58</f>
        <v>464.6308650936794</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466.42148926825894</v>
      </c>
    </row>
    <row r="50" spans="1:18">
      <c r="A50" s="753" t="s">
        <v>296</v>
      </c>
      <c r="B50" s="763"/>
      <c r="C50" s="632">
        <f ca="1">transport!B18</f>
        <v>7.7272100593622959</v>
      </c>
      <c r="D50" s="632">
        <f>transport!C18</f>
        <v>0</v>
      </c>
      <c r="E50" s="632">
        <f>transport!D18</f>
        <v>11.496011336587118</v>
      </c>
      <c r="F50" s="632">
        <f>transport!E18</f>
        <v>138.99912207331053</v>
      </c>
      <c r="G50" s="632">
        <f>transport!F18</f>
        <v>0</v>
      </c>
      <c r="H50" s="632">
        <f>transport!G18</f>
        <v>67498.100925225808</v>
      </c>
      <c r="I50" s="632">
        <f>transport!H18</f>
        <v>8890.6449482906301</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76546.968216985697</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9.5178342339418318</v>
      </c>
      <c r="D52" s="661">
        <f t="shared" ref="D52:Q52" ca="1" si="6">SUM(D48:D51)</f>
        <v>0</v>
      </c>
      <c r="E52" s="661">
        <f t="shared" si="6"/>
        <v>11.496011336587118</v>
      </c>
      <c r="F52" s="661">
        <f t="shared" si="6"/>
        <v>138.99912207331053</v>
      </c>
      <c r="G52" s="661">
        <f t="shared" si="6"/>
        <v>0</v>
      </c>
      <c r="H52" s="661">
        <f t="shared" si="6"/>
        <v>67962.731790319493</v>
      </c>
      <c r="I52" s="661">
        <f t="shared" si="6"/>
        <v>8890.6449482906301</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77013.389706253962</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4127.5130060946403</v>
      </c>
      <c r="D54" s="632">
        <f ca="1">+landbouw!C12</f>
        <v>29941.537242405902</v>
      </c>
      <c r="E54" s="632">
        <f>+landbouw!D12</f>
        <v>0</v>
      </c>
      <c r="F54" s="632">
        <f>+landbouw!E12</f>
        <v>103.04434127485352</v>
      </c>
      <c r="G54" s="632">
        <f>+landbouw!F12</f>
        <v>17708.958236538394</v>
      </c>
      <c r="H54" s="632">
        <f>+landbouw!G12</f>
        <v>0</v>
      </c>
      <c r="I54" s="632">
        <f>+landbouw!H12</f>
        <v>0</v>
      </c>
      <c r="J54" s="632">
        <f>+landbouw!I12</f>
        <v>0</v>
      </c>
      <c r="K54" s="632">
        <f>+landbouw!J12</f>
        <v>722.03655122245209</v>
      </c>
      <c r="L54" s="632">
        <f>+landbouw!K12</f>
        <v>0</v>
      </c>
      <c r="M54" s="632">
        <f>+landbouw!L12</f>
        <v>0</v>
      </c>
      <c r="N54" s="632">
        <f>+landbouw!M12</f>
        <v>0</v>
      </c>
      <c r="O54" s="632">
        <f>+landbouw!N12</f>
        <v>0</v>
      </c>
      <c r="P54" s="632">
        <f>+landbouw!O12</f>
        <v>0</v>
      </c>
      <c r="Q54" s="633">
        <f>+landbouw!P12</f>
        <v>0</v>
      </c>
      <c r="R54" s="660">
        <f ca="1">SUM(C54:Q54)</f>
        <v>52603.089377536235</v>
      </c>
    </row>
    <row r="55" spans="1:18" ht="15" thickBot="1">
      <c r="A55" s="753" t="s">
        <v>802</v>
      </c>
      <c r="B55" s="763"/>
      <c r="C55" s="632">
        <f ca="1">C25*'EF ele_warmte'!B12</f>
        <v>284.65782419195511</v>
      </c>
      <c r="D55" s="632"/>
      <c r="E55" s="632">
        <f>E25*EF_CO2_aardgas</f>
        <v>440.02804576575539</v>
      </c>
      <c r="F55" s="632"/>
      <c r="G55" s="632"/>
      <c r="H55" s="632"/>
      <c r="I55" s="632"/>
      <c r="J55" s="632"/>
      <c r="K55" s="632"/>
      <c r="L55" s="632"/>
      <c r="M55" s="632"/>
      <c r="N55" s="632"/>
      <c r="O55" s="632"/>
      <c r="P55" s="632"/>
      <c r="Q55" s="633"/>
      <c r="R55" s="660">
        <f ca="1">SUM(C55:Q55)</f>
        <v>724.68586995771057</v>
      </c>
    </row>
    <row r="56" spans="1:18" ht="15.75" thickBot="1">
      <c r="A56" s="751" t="s">
        <v>803</v>
      </c>
      <c r="B56" s="764"/>
      <c r="C56" s="661">
        <f ca="1">SUM(C54:C55)</f>
        <v>4412.1708302865954</v>
      </c>
      <c r="D56" s="661">
        <f t="shared" ref="D56:Q56" ca="1" si="7">SUM(D54:D55)</f>
        <v>29941.537242405902</v>
      </c>
      <c r="E56" s="661">
        <f t="shared" si="7"/>
        <v>440.02804576575539</v>
      </c>
      <c r="F56" s="661">
        <f t="shared" si="7"/>
        <v>103.04434127485352</v>
      </c>
      <c r="G56" s="661">
        <f t="shared" si="7"/>
        <v>17708.958236538394</v>
      </c>
      <c r="H56" s="661">
        <f t="shared" si="7"/>
        <v>0</v>
      </c>
      <c r="I56" s="661">
        <f t="shared" si="7"/>
        <v>0</v>
      </c>
      <c r="J56" s="661">
        <f t="shared" si="7"/>
        <v>0</v>
      </c>
      <c r="K56" s="661">
        <f t="shared" si="7"/>
        <v>722.03655122245209</v>
      </c>
      <c r="L56" s="661">
        <f t="shared" si="7"/>
        <v>0</v>
      </c>
      <c r="M56" s="661">
        <f t="shared" si="7"/>
        <v>0</v>
      </c>
      <c r="N56" s="661">
        <f t="shared" si="7"/>
        <v>0</v>
      </c>
      <c r="O56" s="661">
        <f t="shared" si="7"/>
        <v>0</v>
      </c>
      <c r="P56" s="661">
        <f t="shared" si="7"/>
        <v>0</v>
      </c>
      <c r="Q56" s="662">
        <f t="shared" si="7"/>
        <v>0</v>
      </c>
      <c r="R56" s="663">
        <f ca="1">SUM(R54:R55)</f>
        <v>53327.775247493948</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42777.74024034015</v>
      </c>
      <c r="D61" s="669">
        <f t="shared" ref="D61:Q61" ca="1" si="8">D46+D52+D56</f>
        <v>33108.153672004009</v>
      </c>
      <c r="E61" s="669">
        <f t="shared" ca="1" si="8"/>
        <v>35700.70294227908</v>
      </c>
      <c r="F61" s="669">
        <f t="shared" si="8"/>
        <v>2144.5436340354604</v>
      </c>
      <c r="G61" s="669">
        <f t="shared" ca="1" si="8"/>
        <v>41209.679744055473</v>
      </c>
      <c r="H61" s="669">
        <f t="shared" si="8"/>
        <v>67962.731790319493</v>
      </c>
      <c r="I61" s="669">
        <f t="shared" si="8"/>
        <v>8890.6449482906301</v>
      </c>
      <c r="J61" s="669">
        <f t="shared" si="8"/>
        <v>0</v>
      </c>
      <c r="K61" s="669">
        <f t="shared" si="8"/>
        <v>1248.4556270212865</v>
      </c>
      <c r="L61" s="669">
        <f t="shared" si="8"/>
        <v>0</v>
      </c>
      <c r="M61" s="669">
        <f t="shared" ca="1" si="8"/>
        <v>0</v>
      </c>
      <c r="N61" s="669">
        <f t="shared" si="8"/>
        <v>0</v>
      </c>
      <c r="O61" s="669">
        <f t="shared" ca="1" si="8"/>
        <v>0</v>
      </c>
      <c r="P61" s="669">
        <f t="shared" si="8"/>
        <v>0</v>
      </c>
      <c r="Q61" s="669">
        <f t="shared" si="8"/>
        <v>0</v>
      </c>
      <c r="R61" s="669">
        <f ca="1">R46+R52+R56</f>
        <v>233042.65259834554</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0.19497845753912313</v>
      </c>
      <c r="D63" s="710">
        <f t="shared" ca="1" si="9"/>
        <v>0.23213231759542105</v>
      </c>
      <c r="E63" s="954">
        <f t="shared" ca="1" si="9"/>
        <v>0.20200000000000004</v>
      </c>
      <c r="F63" s="710">
        <f t="shared" si="9"/>
        <v>0.22700000000000004</v>
      </c>
      <c r="G63" s="710">
        <f t="shared" ca="1" si="9"/>
        <v>0.26699999999999996</v>
      </c>
      <c r="H63" s="710">
        <f t="shared" si="9"/>
        <v>0.26700000000000002</v>
      </c>
      <c r="I63" s="710">
        <f t="shared" si="9"/>
        <v>0.24899999999999997</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21023.287535619096</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8537.7230024569271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2600.0415400892216</v>
      </c>
      <c r="C76" s="679">
        <f>'lokale energieproductie'!B8*IFERROR(SUM(D76:H76)/SUM(D76:O76),0)</f>
        <v>98033.908459910774</v>
      </c>
      <c r="D76" s="964">
        <f>'lokale energieproductie'!C8</f>
        <v>114365.97869423927</v>
      </c>
      <c r="E76" s="965">
        <f>'lokale energieproductie'!D8</f>
        <v>0</v>
      </c>
      <c r="F76" s="965">
        <f>'lokale energieproductie'!E8</f>
        <v>968.0312585969466</v>
      </c>
      <c r="G76" s="965">
        <f>'lokale energieproductie'!F8</f>
        <v>0</v>
      </c>
      <c r="H76" s="965">
        <f>'lokale energieproductie'!G8</f>
        <v>0</v>
      </c>
      <c r="I76" s="965">
        <f>'lokale energieproductie'!I8</f>
        <v>2904.0937757908396</v>
      </c>
      <c r="J76" s="965">
        <f>'lokale energieproductie'!J8</f>
        <v>154.77862431412717</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23360.392042281717</v>
      </c>
      <c r="R76" s="780">
        <v>0</v>
      </c>
    </row>
    <row r="77" spans="1:18" ht="30.75" thickBot="1">
      <c r="A77" s="682" t="s">
        <v>340</v>
      </c>
      <c r="B77" s="679">
        <f>'lokale energieproductie'!B9*IFERROR(SUM(I77:O77)/SUM(D77:O77),0)</f>
        <v>1341</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3831.4285714285716</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33502.052078165245</v>
      </c>
      <c r="C78" s="684">
        <f>SUM(C72:C77)</f>
        <v>98033.908459910774</v>
      </c>
      <c r="D78" s="685">
        <f t="shared" ref="D78:H78" si="10">SUM(D76:D77)</f>
        <v>114365.97869423927</v>
      </c>
      <c r="E78" s="685">
        <f t="shared" si="10"/>
        <v>0</v>
      </c>
      <c r="F78" s="685">
        <f t="shared" si="10"/>
        <v>968.0312585969466</v>
      </c>
      <c r="G78" s="685">
        <f t="shared" si="10"/>
        <v>0</v>
      </c>
      <c r="H78" s="685">
        <f t="shared" si="10"/>
        <v>0</v>
      </c>
      <c r="I78" s="685">
        <f>SUM(I76:I77)</f>
        <v>2904.0937757908396</v>
      </c>
      <c r="J78" s="685">
        <f>SUM(J76:J77)</f>
        <v>3986.2071957426988</v>
      </c>
      <c r="K78" s="685">
        <f t="shared" ref="K78:L78" si="11">SUM(K76:K77)</f>
        <v>0</v>
      </c>
      <c r="L78" s="685">
        <f t="shared" si="11"/>
        <v>0</v>
      </c>
      <c r="M78" s="685">
        <f>SUM(M76:M77)</f>
        <v>0</v>
      </c>
      <c r="N78" s="685">
        <f>SUM(N76:N77)</f>
        <v>0</v>
      </c>
      <c r="O78" s="788">
        <f>SUM(O76:O77)</f>
        <v>0</v>
      </c>
      <c r="P78" s="686">
        <v>0</v>
      </c>
      <c r="Q78" s="686">
        <f>SUM(Q76:Q77)</f>
        <v>23360.392042281717</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3684.9798884822058</v>
      </c>
      <c r="C87" s="695">
        <f>'lokale energieproductie'!B17*IFERROR(SUM(D87:H87)/SUM(D87:O87),0)</f>
        <v>138941.23439723207</v>
      </c>
      <c r="D87" s="706">
        <f>'lokale energieproductie'!C17</f>
        <v>162088.30702004649</v>
      </c>
      <c r="E87" s="706">
        <f>'lokale energieproductie'!D17</f>
        <v>0</v>
      </c>
      <c r="F87" s="706">
        <f>'lokale energieproductie'!E17</f>
        <v>1371.9687414030536</v>
      </c>
      <c r="G87" s="706">
        <f>'lokale energieproductie'!F17</f>
        <v>0</v>
      </c>
      <c r="H87" s="706">
        <f>'lokale energieproductie'!G17</f>
        <v>0</v>
      </c>
      <c r="I87" s="706">
        <f>'lokale energieproductie'!I17</f>
        <v>4115.9062242091604</v>
      </c>
      <c r="J87" s="706">
        <f>'lokale energieproductie'!J17</f>
        <v>219.36423282872997</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33108.153672004009</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3684.9798884822058</v>
      </c>
      <c r="C90" s="684">
        <f>SUM(C87:C89)</f>
        <v>138941.23439723207</v>
      </c>
      <c r="D90" s="684">
        <f t="shared" ref="D90:H90" si="12">SUM(D87:D89)</f>
        <v>162088.30702004649</v>
      </c>
      <c r="E90" s="684">
        <f t="shared" si="12"/>
        <v>0</v>
      </c>
      <c r="F90" s="684">
        <f t="shared" si="12"/>
        <v>1371.9687414030536</v>
      </c>
      <c r="G90" s="684">
        <f t="shared" si="12"/>
        <v>0</v>
      </c>
      <c r="H90" s="684">
        <f t="shared" si="12"/>
        <v>0</v>
      </c>
      <c r="I90" s="684">
        <f>SUM(I87:I89)</f>
        <v>4115.9062242091604</v>
      </c>
      <c r="J90" s="684">
        <f>SUM(J87:J89)</f>
        <v>219.36423282872997</v>
      </c>
      <c r="K90" s="684">
        <f t="shared" ref="K90:L90" si="13">SUM(K87:K89)</f>
        <v>0</v>
      </c>
      <c r="L90" s="684">
        <f t="shared" si="13"/>
        <v>0</v>
      </c>
      <c r="M90" s="684">
        <f>SUM(M87:M89)</f>
        <v>0</v>
      </c>
      <c r="N90" s="684">
        <f>SUM(N87:N89)</f>
        <v>0</v>
      </c>
      <c r="O90" s="684">
        <f>SUM(O87:O89)</f>
        <v>0</v>
      </c>
      <c r="P90" s="684">
        <v>0</v>
      </c>
      <c r="Q90" s="684">
        <f>SUM(Q87:Q89)</f>
        <v>33108.153672004009</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39081.369182587085</v>
      </c>
      <c r="C4" s="442">
        <f>huishoudens!C8</f>
        <v>0</v>
      </c>
      <c r="D4" s="442">
        <f>huishoudens!D8</f>
        <v>82670.54046217908</v>
      </c>
      <c r="E4" s="442">
        <f>huishoudens!E8</f>
        <v>1437.2319228963272</v>
      </c>
      <c r="F4" s="442">
        <f>huishoudens!F8</f>
        <v>45340.183283629689</v>
      </c>
      <c r="G4" s="442">
        <f>huishoudens!G8</f>
        <v>0</v>
      </c>
      <c r="H4" s="442">
        <f>huishoudens!H8</f>
        <v>0</v>
      </c>
      <c r="I4" s="442">
        <f>huishoudens!I8</f>
        <v>0</v>
      </c>
      <c r="J4" s="442">
        <f>huishoudens!J8</f>
        <v>1057.3313613847747</v>
      </c>
      <c r="K4" s="442">
        <f>huishoudens!K8</f>
        <v>0</v>
      </c>
      <c r="L4" s="442">
        <f>huishoudens!L8</f>
        <v>0</v>
      </c>
      <c r="M4" s="442">
        <f>huishoudens!M8</f>
        <v>0</v>
      </c>
      <c r="N4" s="442">
        <f>huishoudens!N8</f>
        <v>9349.8562123151969</v>
      </c>
      <c r="O4" s="442">
        <f>huishoudens!O8</f>
        <v>404.90333333333331</v>
      </c>
      <c r="P4" s="443">
        <f>huishoudens!P8</f>
        <v>1277.4666666666667</v>
      </c>
      <c r="Q4" s="444">
        <f>SUM(B4:P4)</f>
        <v>180618.88242499216</v>
      </c>
    </row>
    <row r="5" spans="1:17">
      <c r="A5" s="441" t="s">
        <v>149</v>
      </c>
      <c r="B5" s="442">
        <f ca="1">tertiair!B16</f>
        <v>58674.770899999996</v>
      </c>
      <c r="C5" s="442">
        <f ca="1">tertiair!C16</f>
        <v>12857.142857142857</v>
      </c>
      <c r="D5" s="442">
        <f ca="1">tertiair!D16</f>
        <v>30788.567318456597</v>
      </c>
      <c r="E5" s="442">
        <f>tertiair!E16</f>
        <v>693.77469835863462</v>
      </c>
      <c r="F5" s="442">
        <f ca="1">tertiair!F16</f>
        <v>11266.9020870616</v>
      </c>
      <c r="G5" s="442">
        <f>tertiair!G16</f>
        <v>0</v>
      </c>
      <c r="H5" s="442">
        <f>tertiair!H16</f>
        <v>0</v>
      </c>
      <c r="I5" s="442">
        <f>tertiair!I16</f>
        <v>0</v>
      </c>
      <c r="J5" s="442">
        <f>tertiair!J16</f>
        <v>0</v>
      </c>
      <c r="K5" s="442">
        <f>tertiair!K16</f>
        <v>0</v>
      </c>
      <c r="L5" s="442">
        <f ca="1">tertiair!L16</f>
        <v>0</v>
      </c>
      <c r="M5" s="442">
        <f>tertiair!M16</f>
        <v>0</v>
      </c>
      <c r="N5" s="442">
        <f ca="1">tertiair!N16</f>
        <v>0</v>
      </c>
      <c r="O5" s="442">
        <f>tertiair!O16</f>
        <v>4.6900000000000004</v>
      </c>
      <c r="P5" s="443">
        <f>tertiair!P16</f>
        <v>76.266666666666666</v>
      </c>
      <c r="Q5" s="441">
        <f t="shared" ref="Q5:Q14" ca="1" si="0">SUM(B5:P5)</f>
        <v>114362.11452768635</v>
      </c>
    </row>
    <row r="6" spans="1:17">
      <c r="A6" s="441" t="s">
        <v>187</v>
      </c>
      <c r="B6" s="442">
        <f>'openbare verlichting'!B8</f>
        <v>1420.894</v>
      </c>
      <c r="C6" s="442"/>
      <c r="D6" s="442"/>
      <c r="E6" s="442"/>
      <c r="F6" s="442"/>
      <c r="G6" s="442"/>
      <c r="H6" s="442"/>
      <c r="I6" s="442"/>
      <c r="J6" s="442"/>
      <c r="K6" s="442"/>
      <c r="L6" s="442"/>
      <c r="M6" s="442"/>
      <c r="N6" s="442"/>
      <c r="O6" s="442"/>
      <c r="P6" s="443"/>
      <c r="Q6" s="441">
        <f t="shared" si="0"/>
        <v>1420.894</v>
      </c>
    </row>
    <row r="7" spans="1:17">
      <c r="A7" s="441" t="s">
        <v>105</v>
      </c>
      <c r="B7" s="442">
        <f>landbouw!B8</f>
        <v>21169.072</v>
      </c>
      <c r="C7" s="442">
        <f>landbouw!C8</f>
        <v>128984.78571428572</v>
      </c>
      <c r="D7" s="442">
        <f>landbouw!D8</f>
        <v>0</v>
      </c>
      <c r="E7" s="442">
        <f>landbouw!E8</f>
        <v>453.93982940464105</v>
      </c>
      <c r="F7" s="442">
        <f>landbouw!F8</f>
        <v>66325.686279170011</v>
      </c>
      <c r="G7" s="442">
        <f>landbouw!G8</f>
        <v>0</v>
      </c>
      <c r="H7" s="442">
        <f>landbouw!H8</f>
        <v>0</v>
      </c>
      <c r="I7" s="442">
        <f>landbouw!I8</f>
        <v>0</v>
      </c>
      <c r="J7" s="442">
        <f>landbouw!J8</f>
        <v>2039.6512746396952</v>
      </c>
      <c r="K7" s="442">
        <f>landbouw!K8</f>
        <v>0</v>
      </c>
      <c r="L7" s="442">
        <f>landbouw!L8</f>
        <v>0</v>
      </c>
      <c r="M7" s="442">
        <f>landbouw!M8</f>
        <v>0</v>
      </c>
      <c r="N7" s="442">
        <f>landbouw!N8</f>
        <v>0</v>
      </c>
      <c r="O7" s="442">
        <f>landbouw!O8</f>
        <v>0</v>
      </c>
      <c r="P7" s="443">
        <f>landbouw!P8</f>
        <v>0</v>
      </c>
      <c r="Q7" s="441">
        <f t="shared" si="0"/>
        <v>218973.13509750008</v>
      </c>
    </row>
    <row r="8" spans="1:17">
      <c r="A8" s="441" t="s">
        <v>612</v>
      </c>
      <c r="B8" s="442">
        <f>industrie!B18</f>
        <v>97542.398719999997</v>
      </c>
      <c r="C8" s="442">
        <f>industrie!C18</f>
        <v>784.28571428571433</v>
      </c>
      <c r="D8" s="442">
        <f>industrie!D18</f>
        <v>61041.777789546184</v>
      </c>
      <c r="E8" s="442">
        <f>industrie!E18</f>
        <v>6250.0513993939203</v>
      </c>
      <c r="F8" s="442">
        <f>industrie!F18</f>
        <v>31410.598178061817</v>
      </c>
      <c r="G8" s="442">
        <f>industrie!G18</f>
        <v>0</v>
      </c>
      <c r="H8" s="442">
        <f>industrie!H18</f>
        <v>0</v>
      </c>
      <c r="I8" s="442">
        <f>industrie!I18</f>
        <v>0</v>
      </c>
      <c r="J8" s="442">
        <f>industrie!J18</f>
        <v>429.72817477012524</v>
      </c>
      <c r="K8" s="442">
        <f>industrie!K18</f>
        <v>0</v>
      </c>
      <c r="L8" s="442">
        <f>industrie!L18</f>
        <v>0</v>
      </c>
      <c r="M8" s="442">
        <f>industrie!M18</f>
        <v>0</v>
      </c>
      <c r="N8" s="442">
        <f>industrie!N18</f>
        <v>7125.8710282524371</v>
      </c>
      <c r="O8" s="442">
        <f>industrie!O18</f>
        <v>0</v>
      </c>
      <c r="P8" s="443">
        <f>industrie!P18</f>
        <v>0</v>
      </c>
      <c r="Q8" s="441">
        <f t="shared" si="0"/>
        <v>204584.7110043102</v>
      </c>
    </row>
    <row r="9" spans="1:17" s="447" customFormat="1">
      <c r="A9" s="445" t="s">
        <v>556</v>
      </c>
      <c r="B9" s="446">
        <f>transport!B14</f>
        <v>39.631096465166173</v>
      </c>
      <c r="C9" s="446">
        <f>transport!C14</f>
        <v>0</v>
      </c>
      <c r="D9" s="446">
        <f>transport!D14</f>
        <v>56.910947210827317</v>
      </c>
      <c r="E9" s="446">
        <f>transport!E14</f>
        <v>612.3309342436587</v>
      </c>
      <c r="F9" s="446">
        <f>transport!F14</f>
        <v>0</v>
      </c>
      <c r="G9" s="446">
        <f>transport!G14</f>
        <v>252801.87612444122</v>
      </c>
      <c r="H9" s="446">
        <f>transport!H14</f>
        <v>35705.401398757553</v>
      </c>
      <c r="I9" s="446">
        <f>transport!I14</f>
        <v>0</v>
      </c>
      <c r="J9" s="446">
        <f>transport!J14</f>
        <v>0</v>
      </c>
      <c r="K9" s="446">
        <f>transport!K14</f>
        <v>0</v>
      </c>
      <c r="L9" s="446">
        <f>transport!L14</f>
        <v>0</v>
      </c>
      <c r="M9" s="446">
        <f>transport!M14</f>
        <v>15745.849476604153</v>
      </c>
      <c r="N9" s="446">
        <f>transport!N14</f>
        <v>0</v>
      </c>
      <c r="O9" s="446">
        <f>transport!O14</f>
        <v>0</v>
      </c>
      <c r="P9" s="446">
        <f>transport!P14</f>
        <v>0</v>
      </c>
      <c r="Q9" s="445">
        <f>SUM(B9:P9)</f>
        <v>304961.99997772253</v>
      </c>
    </row>
    <row r="10" spans="1:17">
      <c r="A10" s="441" t="s">
        <v>546</v>
      </c>
      <c r="B10" s="442">
        <f>transport!B54</f>
        <v>9.1837026365860961</v>
      </c>
      <c r="C10" s="442">
        <f>transport!C54</f>
        <v>0</v>
      </c>
      <c r="D10" s="442">
        <f>transport!D54</f>
        <v>0</v>
      </c>
      <c r="E10" s="442">
        <f>transport!E54</f>
        <v>0</v>
      </c>
      <c r="F10" s="442">
        <f>transport!F54</f>
        <v>0</v>
      </c>
      <c r="G10" s="442">
        <f>transport!G54</f>
        <v>1740.1905059688365</v>
      </c>
      <c r="H10" s="442">
        <f>transport!H54</f>
        <v>0</v>
      </c>
      <c r="I10" s="442">
        <f>transport!I54</f>
        <v>0</v>
      </c>
      <c r="J10" s="442">
        <f>transport!J54</f>
        <v>0</v>
      </c>
      <c r="K10" s="442">
        <f>transport!K54</f>
        <v>0</v>
      </c>
      <c r="L10" s="442">
        <f>transport!L54</f>
        <v>0</v>
      </c>
      <c r="M10" s="442">
        <f>transport!M54</f>
        <v>100.17934975587558</v>
      </c>
      <c r="N10" s="442">
        <f>transport!N54</f>
        <v>0</v>
      </c>
      <c r="O10" s="442">
        <f>transport!O54</f>
        <v>0</v>
      </c>
      <c r="P10" s="443">
        <f>transport!P54</f>
        <v>0</v>
      </c>
      <c r="Q10" s="441">
        <f t="shared" si="0"/>
        <v>1849.5535583612982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1459.9449999999999</v>
      </c>
      <c r="C14" s="449"/>
      <c r="D14" s="449">
        <f>'SEAP template'!E25</f>
        <v>2178.3566622067096</v>
      </c>
      <c r="E14" s="449"/>
      <c r="F14" s="449"/>
      <c r="G14" s="449"/>
      <c r="H14" s="449"/>
      <c r="I14" s="449"/>
      <c r="J14" s="449"/>
      <c r="K14" s="449"/>
      <c r="L14" s="449"/>
      <c r="M14" s="449"/>
      <c r="N14" s="449"/>
      <c r="O14" s="449"/>
      <c r="P14" s="450"/>
      <c r="Q14" s="441">
        <f t="shared" si="0"/>
        <v>3638.3016622067098</v>
      </c>
    </row>
    <row r="15" spans="1:17" s="451" customFormat="1">
      <c r="A15" s="969" t="s">
        <v>550</v>
      </c>
      <c r="B15" s="909">
        <f ca="1">SUM(B4:B14)</f>
        <v>219397.26460168886</v>
      </c>
      <c r="C15" s="909">
        <f t="shared" ref="C15:Q15" ca="1" si="1">SUM(C4:C14)</f>
        <v>142626.21428571429</v>
      </c>
      <c r="D15" s="909">
        <f t="shared" ca="1" si="1"/>
        <v>176736.15317959938</v>
      </c>
      <c r="E15" s="909">
        <f t="shared" si="1"/>
        <v>9447.3287842971822</v>
      </c>
      <c r="F15" s="909">
        <f t="shared" ca="1" si="1"/>
        <v>154343.36982792313</v>
      </c>
      <c r="G15" s="909">
        <f t="shared" si="1"/>
        <v>254542.06663041006</v>
      </c>
      <c r="H15" s="909">
        <f t="shared" si="1"/>
        <v>35705.401398757553</v>
      </c>
      <c r="I15" s="909">
        <f t="shared" si="1"/>
        <v>0</v>
      </c>
      <c r="J15" s="909">
        <f t="shared" si="1"/>
        <v>3526.7108107945951</v>
      </c>
      <c r="K15" s="909">
        <f t="shared" si="1"/>
        <v>0</v>
      </c>
      <c r="L15" s="909">
        <f t="shared" ca="1" si="1"/>
        <v>0</v>
      </c>
      <c r="M15" s="909">
        <f t="shared" si="1"/>
        <v>15846.028826360029</v>
      </c>
      <c r="N15" s="909">
        <f t="shared" ca="1" si="1"/>
        <v>16475.727240567634</v>
      </c>
      <c r="O15" s="909">
        <f t="shared" si="1"/>
        <v>409.59333333333331</v>
      </c>
      <c r="P15" s="909">
        <f t="shared" si="1"/>
        <v>1353.7333333333333</v>
      </c>
      <c r="Q15" s="909">
        <f t="shared" ca="1" si="1"/>
        <v>1030409.5922527793</v>
      </c>
    </row>
    <row r="17" spans="1:17">
      <c r="A17" s="452" t="s">
        <v>551</v>
      </c>
      <c r="B17" s="715">
        <f ca="1">huishoudens!B10</f>
        <v>0.19497845753912313</v>
      </c>
      <c r="C17" s="715">
        <f ca="1">huishoudens!C10</f>
        <v>0.23213231759542105</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7620.025081737851</v>
      </c>
      <c r="C22" s="442">
        <f t="shared" ref="C22:C32" ca="1" si="3">C4*$C$17</f>
        <v>0</v>
      </c>
      <c r="D22" s="442">
        <f t="shared" ref="D22:D32" si="4">D4*$D$17</f>
        <v>16699.449173360175</v>
      </c>
      <c r="E22" s="442">
        <f t="shared" ref="E22:E32" si="5">E4*$E$17</f>
        <v>326.25164649746631</v>
      </c>
      <c r="F22" s="442">
        <f t="shared" ref="F22:F32" si="6">F4*$F$17</f>
        <v>12105.828936729127</v>
      </c>
      <c r="G22" s="442">
        <f t="shared" ref="G22:G32" si="7">G4*$G$17</f>
        <v>0</v>
      </c>
      <c r="H22" s="442">
        <f t="shared" ref="H22:H32" si="8">H4*$H$17</f>
        <v>0</v>
      </c>
      <c r="I22" s="442">
        <f t="shared" ref="I22:I32" si="9">I4*$I$17</f>
        <v>0</v>
      </c>
      <c r="J22" s="442">
        <f t="shared" ref="J22:J32" si="10">J4*$J$17</f>
        <v>374.2953019302102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37125.850140254828</v>
      </c>
    </row>
    <row r="23" spans="1:17">
      <c r="A23" s="441" t="s">
        <v>149</v>
      </c>
      <c r="B23" s="442">
        <f t="shared" ca="1" si="2"/>
        <v>11440.316326543427</v>
      </c>
      <c r="C23" s="442">
        <f t="shared" ca="1" si="3"/>
        <v>2984.5583690839849</v>
      </c>
      <c r="D23" s="442">
        <f t="shared" ca="1" si="4"/>
        <v>6219.2905983282326</v>
      </c>
      <c r="E23" s="442">
        <f t="shared" si="5"/>
        <v>157.48685652741005</v>
      </c>
      <c r="F23" s="442">
        <f t="shared" ca="1" si="6"/>
        <v>3008.2628572454473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23809.915007728501</v>
      </c>
    </row>
    <row r="24" spans="1:17">
      <c r="A24" s="441" t="s">
        <v>187</v>
      </c>
      <c r="B24" s="442">
        <f t="shared" ca="1" si="2"/>
        <v>277.04372044659482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277.04372044659482</v>
      </c>
    </row>
    <row r="25" spans="1:17">
      <c r="A25" s="441" t="s">
        <v>105</v>
      </c>
      <c r="B25" s="442">
        <f t="shared" ca="1" si="2"/>
        <v>4127.5130060946403</v>
      </c>
      <c r="C25" s="442">
        <f t="shared" ca="1" si="3"/>
        <v>29941.537242405902</v>
      </c>
      <c r="D25" s="442">
        <f t="shared" si="4"/>
        <v>0</v>
      </c>
      <c r="E25" s="442">
        <f t="shared" si="5"/>
        <v>103.04434127485352</v>
      </c>
      <c r="F25" s="442">
        <f t="shared" si="6"/>
        <v>17708.958236538394</v>
      </c>
      <c r="G25" s="442">
        <f t="shared" si="7"/>
        <v>0</v>
      </c>
      <c r="H25" s="442">
        <f t="shared" si="8"/>
        <v>0</v>
      </c>
      <c r="I25" s="442">
        <f t="shared" si="9"/>
        <v>0</v>
      </c>
      <c r="J25" s="442">
        <f t="shared" si="10"/>
        <v>722.03655122245209</v>
      </c>
      <c r="K25" s="442">
        <f t="shared" si="11"/>
        <v>0</v>
      </c>
      <c r="L25" s="442">
        <f t="shared" si="12"/>
        <v>0</v>
      </c>
      <c r="M25" s="442">
        <f t="shared" si="13"/>
        <v>0</v>
      </c>
      <c r="N25" s="442">
        <f t="shared" si="14"/>
        <v>0</v>
      </c>
      <c r="O25" s="442">
        <f t="shared" si="15"/>
        <v>0</v>
      </c>
      <c r="P25" s="443">
        <f t="shared" si="16"/>
        <v>0</v>
      </c>
      <c r="Q25" s="441">
        <f t="shared" ca="1" si="17"/>
        <v>52603.089377536235</v>
      </c>
    </row>
    <row r="26" spans="1:17">
      <c r="A26" s="441" t="s">
        <v>612</v>
      </c>
      <c r="B26" s="442">
        <f t="shared" ca="1" si="2"/>
        <v>19018.666447091739</v>
      </c>
      <c r="C26" s="442">
        <f t="shared" ca="1" si="3"/>
        <v>182.0580605141231</v>
      </c>
      <c r="D26" s="442">
        <f t="shared" si="4"/>
        <v>12330.43911348833</v>
      </c>
      <c r="E26" s="442">
        <f t="shared" si="5"/>
        <v>1418.76166766242</v>
      </c>
      <c r="F26" s="442">
        <f t="shared" si="6"/>
        <v>8386.6297135425048</v>
      </c>
      <c r="G26" s="442">
        <f t="shared" si="7"/>
        <v>0</v>
      </c>
      <c r="H26" s="442">
        <f t="shared" si="8"/>
        <v>0</v>
      </c>
      <c r="I26" s="442">
        <f t="shared" si="9"/>
        <v>0</v>
      </c>
      <c r="J26" s="442">
        <f t="shared" si="10"/>
        <v>152.12377386862431</v>
      </c>
      <c r="K26" s="442">
        <f t="shared" si="11"/>
        <v>0</v>
      </c>
      <c r="L26" s="442">
        <f t="shared" si="12"/>
        <v>0</v>
      </c>
      <c r="M26" s="442">
        <f t="shared" si="13"/>
        <v>0</v>
      </c>
      <c r="N26" s="442">
        <f t="shared" si="14"/>
        <v>0</v>
      </c>
      <c r="O26" s="442">
        <f t="shared" si="15"/>
        <v>0</v>
      </c>
      <c r="P26" s="443">
        <f t="shared" si="16"/>
        <v>0</v>
      </c>
      <c r="Q26" s="441">
        <f t="shared" ca="1" si="17"/>
        <v>41488.678776167741</v>
      </c>
    </row>
    <row r="27" spans="1:17" s="447" customFormat="1">
      <c r="A27" s="445" t="s">
        <v>556</v>
      </c>
      <c r="B27" s="709">
        <f t="shared" ca="1" si="2"/>
        <v>7.7272100593622959</v>
      </c>
      <c r="C27" s="446">
        <f t="shared" ca="1" si="3"/>
        <v>0</v>
      </c>
      <c r="D27" s="446">
        <f t="shared" si="4"/>
        <v>11.496011336587118</v>
      </c>
      <c r="E27" s="446">
        <f t="shared" si="5"/>
        <v>138.99912207331053</v>
      </c>
      <c r="F27" s="446">
        <f t="shared" si="6"/>
        <v>0</v>
      </c>
      <c r="G27" s="446">
        <f t="shared" si="7"/>
        <v>67498.100925225808</v>
      </c>
      <c r="H27" s="446">
        <f t="shared" si="8"/>
        <v>8890.6449482906301</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76546.968216985697</v>
      </c>
    </row>
    <row r="28" spans="1:17">
      <c r="A28" s="441" t="s">
        <v>546</v>
      </c>
      <c r="B28" s="442">
        <f t="shared" ca="1" si="2"/>
        <v>1.7906241745795353</v>
      </c>
      <c r="C28" s="442">
        <f t="shared" ca="1" si="3"/>
        <v>0</v>
      </c>
      <c r="D28" s="442">
        <f t="shared" si="4"/>
        <v>0</v>
      </c>
      <c r="E28" s="442">
        <f t="shared" si="5"/>
        <v>0</v>
      </c>
      <c r="F28" s="442">
        <f t="shared" si="6"/>
        <v>0</v>
      </c>
      <c r="G28" s="442">
        <f t="shared" si="7"/>
        <v>464.6308650936794</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466.42148926825894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284.65782419195511</v>
      </c>
      <c r="C32" s="442">
        <f t="shared" ca="1" si="3"/>
        <v>0</v>
      </c>
      <c r="D32" s="442">
        <f t="shared" si="4"/>
        <v>440.02804576575539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724.68586995771057</v>
      </c>
    </row>
    <row r="33" spans="1:17" s="451" customFormat="1">
      <c r="A33" s="969" t="s">
        <v>550</v>
      </c>
      <c r="B33" s="909">
        <f ca="1">SUM(B22:B32)</f>
        <v>42777.74024034015</v>
      </c>
      <c r="C33" s="909">
        <f t="shared" ref="C33:Q33" ca="1" si="18">SUM(C22:C32)</f>
        <v>33108.153672004009</v>
      </c>
      <c r="D33" s="909">
        <f t="shared" ca="1" si="18"/>
        <v>35700.70294227908</v>
      </c>
      <c r="E33" s="909">
        <f t="shared" si="18"/>
        <v>2144.5436340354604</v>
      </c>
      <c r="F33" s="909">
        <f t="shared" ca="1" si="18"/>
        <v>41209.679744055473</v>
      </c>
      <c r="G33" s="909">
        <f t="shared" si="18"/>
        <v>67962.731790319493</v>
      </c>
      <c r="H33" s="909">
        <f t="shared" si="18"/>
        <v>8890.6449482906301</v>
      </c>
      <c r="I33" s="909">
        <f t="shared" si="18"/>
        <v>0</v>
      </c>
      <c r="J33" s="909">
        <f t="shared" si="18"/>
        <v>1248.4556270212865</v>
      </c>
      <c r="K33" s="909">
        <f t="shared" si="18"/>
        <v>0</v>
      </c>
      <c r="L33" s="909">
        <f t="shared" ca="1" si="18"/>
        <v>0</v>
      </c>
      <c r="M33" s="909">
        <f t="shared" si="18"/>
        <v>0</v>
      </c>
      <c r="N33" s="909">
        <f t="shared" ca="1" si="18"/>
        <v>0</v>
      </c>
      <c r="O33" s="909">
        <f t="shared" si="18"/>
        <v>0</v>
      </c>
      <c r="P33" s="909">
        <f t="shared" si="18"/>
        <v>0</v>
      </c>
      <c r="Q33" s="909">
        <f t="shared" ca="1" si="18"/>
        <v>233042.65259834554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21023.287535619096</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8537.7230024569271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2600.0415400892216</v>
      </c>
      <c r="C8" s="986">
        <f>'SEAP template'!C76</f>
        <v>98033.908459910774</v>
      </c>
      <c r="D8" s="986">
        <f>'SEAP template'!D76</f>
        <v>114365.97869423927</v>
      </c>
      <c r="E8" s="986">
        <f>'SEAP template'!E76</f>
        <v>0</v>
      </c>
      <c r="F8" s="986">
        <f>'SEAP template'!F76</f>
        <v>968.0312585969466</v>
      </c>
      <c r="G8" s="986">
        <f>'SEAP template'!G76</f>
        <v>0</v>
      </c>
      <c r="H8" s="986">
        <f>'SEAP template'!H76</f>
        <v>0</v>
      </c>
      <c r="I8" s="986">
        <f>'SEAP template'!I76</f>
        <v>2904.0937757908396</v>
      </c>
      <c r="J8" s="986">
        <f>'SEAP template'!J76</f>
        <v>154.77862431412717</v>
      </c>
      <c r="K8" s="986">
        <f>'SEAP template'!K76</f>
        <v>0</v>
      </c>
      <c r="L8" s="986">
        <f>'SEAP template'!L76</f>
        <v>0</v>
      </c>
      <c r="M8" s="986">
        <f>'SEAP template'!M76</f>
        <v>0</v>
      </c>
      <c r="N8" s="986">
        <f>'SEAP template'!N76</f>
        <v>0</v>
      </c>
      <c r="O8" s="986">
        <f>'SEAP template'!O76</f>
        <v>0</v>
      </c>
      <c r="P8" s="987">
        <f>'SEAP template'!Q76</f>
        <v>23360.392042281717</v>
      </c>
    </row>
    <row r="9" spans="1:16">
      <c r="A9" s="989" t="s">
        <v>818</v>
      </c>
      <c r="B9" s="986">
        <f>'SEAP template'!B77</f>
        <v>1341</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3831.4285714285716</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33502.052078165245</v>
      </c>
      <c r="C10" s="990">
        <f>SUM(C4:C9)</f>
        <v>98033.908459910774</v>
      </c>
      <c r="D10" s="990">
        <f t="shared" ref="D10:H10" si="0">SUM(D8:D9)</f>
        <v>114365.97869423927</v>
      </c>
      <c r="E10" s="990">
        <f t="shared" si="0"/>
        <v>0</v>
      </c>
      <c r="F10" s="990">
        <f t="shared" si="0"/>
        <v>968.0312585969466</v>
      </c>
      <c r="G10" s="990">
        <f t="shared" si="0"/>
        <v>0</v>
      </c>
      <c r="H10" s="990">
        <f t="shared" si="0"/>
        <v>0</v>
      </c>
      <c r="I10" s="990">
        <f>SUM(I8:I9)</f>
        <v>2904.0937757908396</v>
      </c>
      <c r="J10" s="990">
        <f>SUM(J8:J9)</f>
        <v>3986.2071957426988</v>
      </c>
      <c r="K10" s="990">
        <f t="shared" ref="K10:L10" si="1">SUM(K8:K9)</f>
        <v>0</v>
      </c>
      <c r="L10" s="990">
        <f t="shared" si="1"/>
        <v>0</v>
      </c>
      <c r="M10" s="990">
        <f>SUM(M8:M9)</f>
        <v>0</v>
      </c>
      <c r="N10" s="990">
        <f>SUM(N8:N9)</f>
        <v>0</v>
      </c>
      <c r="O10" s="990">
        <f>SUM(O8:O9)</f>
        <v>0</v>
      </c>
      <c r="P10" s="990">
        <f>SUM(P8:P9)</f>
        <v>23360.392042281717</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0.19497845753912313</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3684.9798884822058</v>
      </c>
      <c r="C17" s="992">
        <f>'SEAP template'!C87</f>
        <v>138941.23439723207</v>
      </c>
      <c r="D17" s="987">
        <f>'SEAP template'!D87</f>
        <v>162088.30702004649</v>
      </c>
      <c r="E17" s="987">
        <f>'SEAP template'!E87</f>
        <v>0</v>
      </c>
      <c r="F17" s="987">
        <f>'SEAP template'!F87</f>
        <v>1371.9687414030536</v>
      </c>
      <c r="G17" s="987">
        <f>'SEAP template'!G87</f>
        <v>0</v>
      </c>
      <c r="H17" s="987">
        <f>'SEAP template'!H87</f>
        <v>0</v>
      </c>
      <c r="I17" s="987">
        <f>'SEAP template'!I87</f>
        <v>4115.9062242091604</v>
      </c>
      <c r="J17" s="987">
        <f>'SEAP template'!J87</f>
        <v>219.36423282872997</v>
      </c>
      <c r="K17" s="987">
        <f>'SEAP template'!K87</f>
        <v>0</v>
      </c>
      <c r="L17" s="987">
        <f>'SEAP template'!L87</f>
        <v>0</v>
      </c>
      <c r="M17" s="987">
        <f>'SEAP template'!M87</f>
        <v>0</v>
      </c>
      <c r="N17" s="987">
        <f>'SEAP template'!N87</f>
        <v>0</v>
      </c>
      <c r="O17" s="987">
        <f>'SEAP template'!O87</f>
        <v>0</v>
      </c>
      <c r="P17" s="987">
        <f>'SEAP template'!Q87</f>
        <v>33108.153672004009</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3684.9798884822058</v>
      </c>
      <c r="C20" s="990">
        <f>SUM(C17:C19)</f>
        <v>138941.23439723207</v>
      </c>
      <c r="D20" s="990">
        <f t="shared" ref="D20:H20" si="2">SUM(D17:D19)</f>
        <v>162088.30702004649</v>
      </c>
      <c r="E20" s="990">
        <f t="shared" si="2"/>
        <v>0</v>
      </c>
      <c r="F20" s="990">
        <f t="shared" si="2"/>
        <v>1371.9687414030536</v>
      </c>
      <c r="G20" s="990">
        <f t="shared" si="2"/>
        <v>0</v>
      </c>
      <c r="H20" s="990">
        <f t="shared" si="2"/>
        <v>0</v>
      </c>
      <c r="I20" s="990">
        <f>SUM(I17:I19)</f>
        <v>4115.9062242091604</v>
      </c>
      <c r="J20" s="990">
        <f>SUM(J17:J19)</f>
        <v>219.36423282872997</v>
      </c>
      <c r="K20" s="990">
        <f t="shared" ref="K20:L20" si="3">SUM(K17:K19)</f>
        <v>0</v>
      </c>
      <c r="L20" s="990">
        <f t="shared" si="3"/>
        <v>0</v>
      </c>
      <c r="M20" s="990">
        <f>SUM(M17:M19)</f>
        <v>0</v>
      </c>
      <c r="N20" s="990">
        <f>SUM(N17:N19)</f>
        <v>0</v>
      </c>
      <c r="O20" s="990">
        <f>SUM(O17:O19)</f>
        <v>0</v>
      </c>
      <c r="P20" s="990">
        <f>SUM(P17:P19)</f>
        <v>33108.153672004009</v>
      </c>
    </row>
    <row r="22" spans="1:16">
      <c r="A22" s="452" t="s">
        <v>826</v>
      </c>
      <c r="B22" s="715" t="s">
        <v>820</v>
      </c>
      <c r="C22" s="715">
        <f ca="1">'EF ele_warmte'!B22</f>
        <v>0.23213231759542105</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0.19497845753912313</v>
      </c>
      <c r="C17" s="489">
        <f ca="1">'EF ele_warmte'!B22</f>
        <v>0.23213231759542105</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2</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3.1266666666666669</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2022-07-26T11:26:59Z</dcterms:modified>
</cp:coreProperties>
</file>