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F2D7EEE8-CE7C-43F5-B441-4CE53C6029A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<sst xmlns="http://schemas.openxmlformats.org/spreadsheetml/2006/main" count="2431" uniqueCount="904">
  <si>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</si>
  <si>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</si>
  <si>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</si>
  <si>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</si>
  <si>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</si>
  <si>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</si>
  <si>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</si>
  <si>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</si>
  <si>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</si>
  <si>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</si>
  <si>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</si>
  <si>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</si>
  <si>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</si>
  <si>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</si>
  <si>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</si>
  <si>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</si>
  <si>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</si>
  <si>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</si>
  <si>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</si>
  <si>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</si>
  <si>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</si>
  <si>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</si>
  <si>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</si>
  <si>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</si>
  <si>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</si>
  <si>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</si>
  <si>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</si>
  <si>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</si>
  <si>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</si>
  <si>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</si>
  <si>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</si>
  <si>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</si>
  <si>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</si>
  <si>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</si>
  <si>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</si>
  <si>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</si>
  <si>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</si>
  <si>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</si>
  <si>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</si>
  <si>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</si>
  <si>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</si>
  <si>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</si>
  <si>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</si>
  <si>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</si>
  <si>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</si>
  <si>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</si>
  <si>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</si>
  <si>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</si>
  <si>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</si>
  <si>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</si>
  <si>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</si>
  <si>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</si>
  <si>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</si>
  <si>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</si>
  <si>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</si>
  <si>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</si>
  <si>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</si>
  <si>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</si>
  <si>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</si>
  <si>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</si>
  <si>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</si>
  <si>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</si>
  <si>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</si>
  <si>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</si>
  <si>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</si>
  <si>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</si>
  <si>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</si>
  <si>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</si>
  <si>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</si>
  <si>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</si>
  <si>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</si>
  <si>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</si>
  <si>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</si>
  <si>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</si>
  <si>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</si>
  <si>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</si>
  <si>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</si>
  <si>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</si>
  <si>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</si>
  <si>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</si>
  <si>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</si>
  <si>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</si>
  <si>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</si>
  <si>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</si>
  <si>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</si>
  <si>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</si>
  <si>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</si>
  <si>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</si>
  <si>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</si>
  <si>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</si>
  <si>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</si>
  <si>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</si>
  <si>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</si>
  <si>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</si>
  <si>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</si>
  <si>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</si>
  <si>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</si>
  <si>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</si>
  <si>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</si>
  <si>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</si>
  <si>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</si>
  <si>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</si>
  <si>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</si>
  <si>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</si>
  <si>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</si>
  <si>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</si>
  <si>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</si>
  <si>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</si>
  <si>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</si>
  <si>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</si>
  <si>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</si>
  <si>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</si>
  <si>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</si>
  <si>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</si>
  <si>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</si>
  <si>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</si>
  <si>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</si>
  <si>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</si>
  <si>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</si>
  <si>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</si>
  <si>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</si>
  <si>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</si>
  <si>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</si>
  <si>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</si>
  <si>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</si>
  <si>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</si>
  <si>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</si>
  <si>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</si>
  <si>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</si>
  <si>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</si>
  <si>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</si>
  <si>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</si>
  <si>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</si>
  <si>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</si>
  <si>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</si>
  <si>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</si>
  <si>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</si>
  <si>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</si>
  <si>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</si>
  <si>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</si>
  <si>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</si>
  <si>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</si>
  <si>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</si>
  <si>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</si>
  <si>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</si>
  <si>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</si>
  <si>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</si>
  <si>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</si>
  <si>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</si>
  <si>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</si>
  <si>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</si>
  <si>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</si>
  <si>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</si>
  <si>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</si>
  <si>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</si>
  <si>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</si>
  <si>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</si>
  <si>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</si>
  <si>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</si>
  <si>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</si>
  <si>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</si>
  <si>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</si>
  <si>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</si>
  <si>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</si>
  <si>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</si>
  <si>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</si>
  <si>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</si>
  <si>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</si>
  <si>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</si>
  <si>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</si>
  <si>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</si>
  <si>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</si>
  <si>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</si>
  <si>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</si>
  <si>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</si>
  <si>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</si>
  <si>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</si>
  <si>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</si>
  <si>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</si>
  <si>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</si>
  <si>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</si>
  <si>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</si>
  <si>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</si>
  <si>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</si>
  <si>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</si>
  <si>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</si>
  <si>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</si>
  <si>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</si>
  <si>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</si>
  <si>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</si>
  <si>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</si>
  <si>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</si>
  <si>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</si>
  <si>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</si>
  <si>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</si>
  <si>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</si>
  <si>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</si>
  <si>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</si>
  <si>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</si>
  <si>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</si>
  <si>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</si>
  <si>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</si>
  <si>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</si>
  <si>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</si>
  <si>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</si>
  <si>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</si>
  <si>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</si>
  <si>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</si>
  <si>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</si>
  <si>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</si>
  <si>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</si>
  <si>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</si>
  <si>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</si>
  <si>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</si>
  <si>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</si>
  <si>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</si>
  <si>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</si>
  <si>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</si>
  <si>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</si>
  <si>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</si>
  <si>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</si>
  <si>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</si>
  <si>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</si>
  <si>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</si>
  <si>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</si>
  <si>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</si>
  <si>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</si>
  <si>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</si>
  <si>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</si>
  <si>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</si>
  <si>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</si>
  <si>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</si>
  <si>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</si>
  <si>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</si>
  <si>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</si>
  <si>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</si>
  <si>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</si>
  <si>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</si>
  <si>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</si>
  <si>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</si>
  <si>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</si>
  <si>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</si>
  <si>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</si>
  <si>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</si>
  <si>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</si>
  <si>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</si>
  <si>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</si>
  <si>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</si>
  <si>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</si>
  <si>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</si>
  <si>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</si>
  <si>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</si>
  <si>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</si>
  <si>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</si>
  <si>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</si>
  <si>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</si>
  <si>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</si>
  <si>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</si>
  <si>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</si>
  <si>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</si>
  <si>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</si>
  <si>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</si>
  <si>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</si>
  <si>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</si>
  <si>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</si>
  <si>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</si>
  <si>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</si>
  <si>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</si>
  <si>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</si>
  <si>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</si>
  <si>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</si>
  <si>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</si>
  <si>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</si>
  <si>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</si>
  <si>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</si>
  <si>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</si>
  <si>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</si>
  <si>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</si>
  <si>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</si>
  <si>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</si>
  <si>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</si>
  <si>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</si>
  <si>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</si>
  <si>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</si>
  <si>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</si>
  <si>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</si>
  <si>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</si>
  <si>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</si>
  <si>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</si>
  <si>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</si>
  <si>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</si>
  <si>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</si>
  <si>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</si>
  <si>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</si>
  <si>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</si>
  <si>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</si>
  <si>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</si>
  <si>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</si>
  <si>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</si>
  <si>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</si>
  <si>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</si>
  <si>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</si>
  <si>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</si>
  <si>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</si>
  <si>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</si>
  <si>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</si>
  <si>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</si>
  <si>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</si>
  <si>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</si>
  <si>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</si>
  <si>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</si>
  <si>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</si>
  <si>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</si>
  <si>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</si>
  <si>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</si>
  <si>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</si>
  <si>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</si>
  <si>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</si>
  <si>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</si>
  <si>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</si>
  <si>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</si>
  <si>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</si>
  <si>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</si>
  <si>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</si>
  <si>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</si>
  <si>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</si>
  <si>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</si>
  <si>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</si>
  <si>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</si>
  <si>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</si>
  <si>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</si>
  <si>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</si>
  <si>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</si>
  <si>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</si>
  <si>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</si>
  <si>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</si>
  <si>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</si>
  <si>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</si>
  <si>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</si>
  <si>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</si>
  <si>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</si>
  <si>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</si>
  <si>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</si>
  <si>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</si>
  <si>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</si>
  <si>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</si>
  <si>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</si>
  <si>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</si>
  <si>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</si>
  <si>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</si>
  <si>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</si>
  <si>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</si>
  <si>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</si>
  <si>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</si>
  <si>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</si>
  <si>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</si>
  <si>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</si>
  <si>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</si>
  <si>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</si>
  <si>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</si>
  <si>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</si>
  <si>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</si>
  <si>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</si>
  <si>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</si>
  <si>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</si>
  <si>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</si>
  <si>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</si>
  <si>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</si>
  <si>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</si>
  <si>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</si>
  <si>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</si>
  <si>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</si>
  <si>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</si>
  <si>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</si>
  <si>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</si>
  <si>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</si>
  <si>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</si>
  <si>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</si>
  <si>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</si>
  <si>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</si>
  <si>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</si>
  <si>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</si>
  <si>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</si>
  <si>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</si>
  <si>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</si>
  <si>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</si>
  <si>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</si>
  <si>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</si>
  <si>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</si>
  <si>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</si>
  <si>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</si>
  <si>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</si>
  <si>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</si>
  <si>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</si>
  <si>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</si>
  <si>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</si>
  <si>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</si>
  <si>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</si>
  <si>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</si>
  <si>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</si>
  <si>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</si>
  <si>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</si>
  <si>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</si>
  <si>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</si>
  <si>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</si>
  <si>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</si>
  <si>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</si>
  <si>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</si>
  <si>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</si>
  <si>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</si>
  <si>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</si>
  <si>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</si>
  <si>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</si>
  <si>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</si>
  <si>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</si>
  <si>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</si>
  <si>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</si>
  <si>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</si>
  <si>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</si>
  <si>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</si>
  <si>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</si>
  <si>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</si>
  <si>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</si>
  <si>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</si>
  <si>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</si>
  <si>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</si>
  <si>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</si>
  <si>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</si>
  <si>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</si>
  <si>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</si>
  <si>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</si>
  <si>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</si>
  <si>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</si>
  <si>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</si>
  <si>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</si>
  <si>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</si>
  <si>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</si>
  <si>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</si>
  <si>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</si>
  <si>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</si>
  <si>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</si>
  <si>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</si>
  <si>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</si>
  <si>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</si>
  <si>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</si>
  <si>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</si>
  <si>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</si>
  <si>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</si>
  <si>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</si>
  <si>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</si>
  <si>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</si>
  <si>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</si>
  <si>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</si>
  <si>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</si>
  <si>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</si>
  <si>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</si>
  <si>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</si>
  <si>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</si>
  <si>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</si>
  <si>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</si>
  <si>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</si>
  <si>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</si>
  <si>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</si>
  <si>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</si>
  <si>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</si>
  <si>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</si>
  <si>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</si>
  <si>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</si>
  <si>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</si>
  <si>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</si>
  <si>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</si>
  <si>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</si>
  <si>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</si>
  <si>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</si>
  <si>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</si>
  <si>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</si>
  <si>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</si>
  <si>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</si>
  <si>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</si>
  <si>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</si>
  <si>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</si>
  <si>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</si>
  <si>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</si>
  <si>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</si>
  <si>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</si>
  <si>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</si>
  <si>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</si>
  <si>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</si>
  <si>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</si>
  <si>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</si>
  <si>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</si>
  <si>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</si>
  <si>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</si>
  <si>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</si>
  <si>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</si>
  <si>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</si>
  <si>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</si>
  <si>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</si>
  <si>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</si>
  <si>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</si>
  <si>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</si>
  <si>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</si>
  <si>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</si>
  <si>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</si>
  <si>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</si>
  <si>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</si>
  <si>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</si>
  <si>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</si>
  <si>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</si>
  <si>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</si>
  <si>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</si>
  <si>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</si>
  <si>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</si>
  <si>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</si>
  <si>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</si>
  <si>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</si>
  <si>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</si>
  <si>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</si>
  <si>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</si>
  <si>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</si>
  <si>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</si>
  <si>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</si>
  <si>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</si>
  <si>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</si>
  <si>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</si>
  <si>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</si>
  <si>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</si>
  <si>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</si>
  <si>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</si>
  <si>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</si>
  <si>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</si>
  <si>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</si>
  <si>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</si>
  <si>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</si>
  <si>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</si>
  <si>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</si>
  <si>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</si>
  <si>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</si>
  <si>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</si>
  <si>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</si>
  <si>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</si>
  <si>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</si>
  <si>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</si>
  <si>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</si>
  <si>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</si>
  <si>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</si>
  <si>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</si>
  <si>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</si>
  <si>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</si>
  <si>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</si>
  <si>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</si>
  <si>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</si>
  <si>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</si>
  <si>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</si>
  <si>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</si>
  <si>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</si>
  <si>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</si>
  <si>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</si>
  <si>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</si>
  <si>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</si>
  <si>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</si>
  <si>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</si>
  <si>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</si>
  <si>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</si>
  <si>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</si>
  <si>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</si>
  <si>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</si>
  <si>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</si>
  <si>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</si>
  <si>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</si>
  <si>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</si>
  <si>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</si>
  <si>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</si>
  <si>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</si>
  <si>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</si>
  <si>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</si>
  <si>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</si>
  <si>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</si>
  <si>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</si>
  <si>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</si>
  <si>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</si>
  <si>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</si>
  <si>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</si>
  <si>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</si>
  <si>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</si>
  <si>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</si>
  <si>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</si>
  <si>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</si>
  <si>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</si>
  <si>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</si>
  <si>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</si>
  <si>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</si>
  <si>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</si>
  <si>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</si>
  <si>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</si>
  <si>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</si>
  <si>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</si>
  <si>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</si>
  <si>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</si>
  <si>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</si>
  <si>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</si>
  <si>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</si>
  <si>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</si>
  <si>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</si>
  <si>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</si>
  <si>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</si>
  <si>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</si>
  <si>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</si>
  <si>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</si>
  <si>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</si>
  <si>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</si>
  <si>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</si>
  <si>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</si>
  <si>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</si>
  <si>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</si>
  <si>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</si>
  <si>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</si>
  <si>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</si>
  <si>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</si>
  <si>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</si>
  <si>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</si>
  <si>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</si>
  <si>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</si>
  <si>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</si>
  <si>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</si>
  <si>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</si>
  <si>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</si>
  <si>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</si>
  <si>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</si>
  <si>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</si>
  <si>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</si>
  <si>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</si>
  <si>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</si>
  <si>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</si>
  <si>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</si>
  <si>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</si>
  <si>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</si>
  <si>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</si>
  <si>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</si>
  <si>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</si>
  <si>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</si>
  <si>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</si>
  <si>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</si>
  <si>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</si>
  <si>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</si>
  <si>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</si>
  <si>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</si>
  <si>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</si>
  <si>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</si>
  <si>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</si>
  <si>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</si>
  <si>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</si>
  <si>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</si>
  <si>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</si>
  <si>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</si>
  <si>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</si>
  <si>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</si>
  <si>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</si>
  <si>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</si>
  <si>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</si>
  <si>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</si>
  <si>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</si>
  <si>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</si>
  <si>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</si>
  <si>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</si>
  <si>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</si>
  <si>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</si>
  <si>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</si>
  <si>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</si>
  <si>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</si>
  <si>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</si>
  <si>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</si>
  <si>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</si>
  <si>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</si>
  <si>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</si>
  <si>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</si>
  <si>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</si>
  <si>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</si>
  <si>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</si>
  <si>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</si>
  <si>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</si>
  <si>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</si>
  <si>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</si>
  <si>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</si>
  <si>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</si>
  <si>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</si>
  <si>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</si>
  <si>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</si>
  <si>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</si>
  <si>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</si>
  <si>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</si>
  <si>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</si>
  <si>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</si>
  <si>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</si>
  <si>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</si>
  <si>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</si>
  <si>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</si>
  <si>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</si>
  <si>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</si>
  <si>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</si>
  <si>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</si>
  <si>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</si>
  <si>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</si>
  <si>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</si>
  <si>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</si>
  <si>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</si>
  <si>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</si>
  <si>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</si>
  <si>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</si>
  <si>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</si>
  <si>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</si>
  <si>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</si>
  <si>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</si>
  <si>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</si>
  <si>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</si>
  <si>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</si>
  <si>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</si>
  <si>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</si>
  <si>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</si>
  <si>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</si>
  <si>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</si>
  <si>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</si>
  <si>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</si>
  <si>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</si>
  <si>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</si>
  <si>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</si>
  <si>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</si>
  <si>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</si>
  <si>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</si>
  <si>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</si>
  <si>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</si>
  <si>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</si>
  <si>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</si>
  <si>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</si>
  <si>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</si>
  <si>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</si>
  <si>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</si>
  <si>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</si>
  <si>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</si>
  <si>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</si>
  <si>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</si>
  <si>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</si>
  <si>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</si>
  <si>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</si>
  <si>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</si>
  <si>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</si>
  <si>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</si>
  <si>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</si>
  <si>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</si>
  <si>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</si>
  <si>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</si>
  <si>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</si>
  <si>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</si>
  <si>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</si>
  <si>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</si>
  <si>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</si>
  <si>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</si>
  <si>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</si>
  <si>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</si>
  <si>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</si>
  <si>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</si>
  <si>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</si>
  <si>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</si>
  <si>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</si>
  <si>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</si>
  <si>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</si>
  <si>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</si>
  <si>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</si>
  <si>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</si>
  <si>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</si>
  <si>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</si>
  <si>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</si>
  <si>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</si>
  <si>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</si>
  <si>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</si>
  <si>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</si>
  <si>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</si>
  <si>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</si>
  <si>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</si>
  <si>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</si>
  <si>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</si>
  <si>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</si>
  <si>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</si>
  <si>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</si>
  <si>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</si>
  <si>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</si>
  <si>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</si>
  <si>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</si>
  <si>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</si>
  <si>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</si>
  <si>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</si>
  <si>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</si>
  <si>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</si>
  <si>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</si>
  <si>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</si>
  <si>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</si>
  <si>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</si>
  <si>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</si>
  <si>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</si>
  <si>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</si>
  <si>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</si>
  <si>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</si>
  <si>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</si>
  <si>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</si>
  <si>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</si>
  <si>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</si>
  <si>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</si>
  <si>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</si>
  <si>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</si>
  <si>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</si>
  <si>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</si>
  <si>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</si>
  <si>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</si>
  <si>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</si>
  <si>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</si>
  <si>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</si>
  <si>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</si>
  <si>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</si>
  <si>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</si>
  <si>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</si>
  <si>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</si>
  <si>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</si>
  <si>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</si>
  <si>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</si>
  <si>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</si>
  <si>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</si>
  <si>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</si>
  <si>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</si>
  <si>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</si>
  <si>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</si>
  <si>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</si>
  <si>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</si>
  <si>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</si>
  <si>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</si>
  <si>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</si>
  <si>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</si>
  <si>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</si>
  <si>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</si>
  <si>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</si>
  <si>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</si>
  <si>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</si>
  <si>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</si>
  <si>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</si>
  <si>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</si>
  <si>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</si>
  <si>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</si>
  <si>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</si>
  <si>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</si>
  <si>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</si>
  <si>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</si>
  <si>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</si>
  <si>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</si>
  <si>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</si>
  <si>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</si>
  <si>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</si>
  <si>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</si>
  <si>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</si>
  <si>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</si>
  <si>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</si>
  <si>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</si>
  <si>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</si>
  <si>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</si>
  <si>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</si>
  <si>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</si>
  <si>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</si>
  <si>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</si>
  <si>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</si>
  <si>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</si>
  <si>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</si>
  <si>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</si>
  <si>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</si>
  <si>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</si>
  <si>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</si>
  <si>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</si>
  <si>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</si>
  <si>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</si>
  <si>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</si>
  <si>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</si>
  <si>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</si>
  <si>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</si>
  <si>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</si>
  <si>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</si>
  <si>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</si>
  <si>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</si>
  <si>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</si>
  <si>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</si>
  <si>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</si>
  <si>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</si>
  <si>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</si>
  <si>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</si>
  <si>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</si>
  <si>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</si>
  <si>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</si>
  <si>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</si>
  <si>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</si>
  <si>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</si>
  <si>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</si>
  <si>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</si>
  <si>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</si>
  <si>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12014</t>
  </si>
  <si>
    <t>HEIST-OP-DEN-BERG</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</si>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</sst>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B382CB41-53F1-4E00-8B98-4A9D66AB65AF}"/>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363693.7344868122</c:v>
                </c:pt>
                <c:pt idx="1">
                  <c:v>116583.15060928647</c:v>
                </c:pt>
                <c:pt idx="2">
                  <c:v>2748.2370000000001</c:v>
                </c:pt>
                <c:pt idx="3">
                  <c:v>8923.7375478780796</c:v>
                </c:pt>
                <c:pt idx="4">
                  <c:v>120041.74915748203</c:v>
                </c:pt>
                <c:pt idx="5">
                  <c:v>193945.56567966967</c:v>
                </c:pt>
                <c:pt idx="6">
                  <c:v>2735.1541515411359</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363693.7344868122</c:v>
                </c:pt>
                <c:pt idx="1">
                  <c:v>116583.15060928647</c:v>
                </c:pt>
                <c:pt idx="2">
                  <c:v>2748.2370000000001</c:v>
                </c:pt>
                <c:pt idx="3">
                  <c:v>8923.7375478780796</c:v>
                </c:pt>
                <c:pt idx="4">
                  <c:v>120041.74915748203</c:v>
                </c:pt>
                <c:pt idx="5">
                  <c:v>193945.56567966967</c:v>
                </c:pt>
                <c:pt idx="6">
                  <c:v>2735.1541515411359</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78526.642003103741</c:v>
                </c:pt>
                <c:pt idx="2">
                  <c:v>23907.63821953904</c:v>
                </c:pt>
                <c:pt idx="3">
                  <c:v>569.47221254811768</c:v>
                </c:pt>
                <c:pt idx="4">
                  <c:v>2250.133424636058</c:v>
                </c:pt>
                <c:pt idx="5">
                  <c:v>25415.806766694557</c:v>
                </c:pt>
                <c:pt idx="6">
                  <c:v>48547.293421745781</c:v>
                </c:pt>
                <c:pt idx="7">
                  <c:v>689.91892707076806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78526.642003103741</c:v>
                </c:pt>
                <c:pt idx="2">
                  <c:v>23907.63821953904</c:v>
                </c:pt>
                <c:pt idx="3">
                  <c:v>569.47221254811768</c:v>
                </c:pt>
                <c:pt idx="4">
                  <c:v>2250.133424636058</c:v>
                </c:pt>
                <c:pt idx="5">
                  <c:v>25415.806766694557</c:v>
                </c:pt>
                <c:pt idx="6">
                  <c:v>48547.293421745781</c:v>
                </c:pt>
                <c:pt idx="7">
                  <c:v>689.91892707076806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12014</v>
      </c>
      <c r="B6" s="381"/>
      <c r="C6" s="382"/>
    </row>
    <row r="7" spans="1:7" s="379" customFormat="1" ht="15.75" customHeight="1">
      <c r="A7" s="383" t="str">
        <f>txtMunicipality</f>
        <v>HEIST-OP-DEN-BERG</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0.20721364734850659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0.20721364734850659</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17412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3467</v>
      </c>
      <c r="C14" s="322"/>
      <c r="D14" s="322"/>
      <c r="E14" s="322"/>
      <c r="F14" s="322"/>
    </row>
    <row r="15" spans="1:6">
      <c r="A15" s="1261" t="s">
        <v>177</v>
      </c>
      <c r="B15" s="1262">
        <v>997</v>
      </c>
      <c r="C15" s="322"/>
      <c r="D15" s="322"/>
      <c r="E15" s="322"/>
      <c r="F15" s="322"/>
    </row>
    <row r="16" spans="1:6">
      <c r="A16" s="1261" t="s">
        <v>6</v>
      </c>
      <c r="B16" s="1262">
        <v>1332</v>
      </c>
      <c r="C16" s="322"/>
      <c r="D16" s="322"/>
      <c r="E16" s="322"/>
      <c r="F16" s="322"/>
    </row>
    <row r="17" spans="1:6">
      <c r="A17" s="1261" t="s">
        <v>7</v>
      </c>
      <c r="B17" s="1262">
        <v>646</v>
      </c>
      <c r="C17" s="322"/>
      <c r="D17" s="322"/>
      <c r="E17" s="322"/>
      <c r="F17" s="322"/>
    </row>
    <row r="18" spans="1:6">
      <c r="A18" s="1261" t="s">
        <v>8</v>
      </c>
      <c r="B18" s="1262">
        <v>1337</v>
      </c>
      <c r="C18" s="322"/>
      <c r="D18" s="322"/>
      <c r="E18" s="322"/>
      <c r="F18" s="322"/>
    </row>
    <row r="19" spans="1:6">
      <c r="A19" s="1261" t="s">
        <v>9</v>
      </c>
      <c r="B19" s="1262">
        <v>1197</v>
      </c>
      <c r="C19" s="322"/>
      <c r="D19" s="322"/>
      <c r="E19" s="322"/>
      <c r="F19" s="322"/>
    </row>
    <row r="20" spans="1:6">
      <c r="A20" s="1261" t="s">
        <v>10</v>
      </c>
      <c r="B20" s="1262">
        <v>974</v>
      </c>
      <c r="C20" s="322"/>
      <c r="D20" s="322"/>
      <c r="E20" s="322"/>
      <c r="F20" s="322"/>
    </row>
    <row r="21" spans="1:6">
      <c r="A21" s="1261" t="s">
        <v>11</v>
      </c>
      <c r="B21" s="1262">
        <v>700</v>
      </c>
      <c r="C21" s="322"/>
      <c r="D21" s="322"/>
      <c r="E21" s="322"/>
      <c r="F21" s="322"/>
    </row>
    <row r="22" spans="1:6">
      <c r="A22" s="1261" t="s">
        <v>12</v>
      </c>
      <c r="B22" s="1262">
        <v>2244</v>
      </c>
      <c r="C22" s="322"/>
      <c r="D22" s="322"/>
      <c r="E22" s="322"/>
      <c r="F22" s="322"/>
    </row>
    <row r="23" spans="1:6">
      <c r="A23" s="1261" t="s">
        <v>13</v>
      </c>
      <c r="B23" s="1262">
        <v>39</v>
      </c>
      <c r="C23" s="322"/>
      <c r="D23" s="322"/>
      <c r="E23" s="322"/>
      <c r="F23" s="322"/>
    </row>
    <row r="24" spans="1:6">
      <c r="A24" s="1261" t="s">
        <v>14</v>
      </c>
      <c r="B24" s="1262">
        <v>4</v>
      </c>
      <c r="C24" s="322"/>
      <c r="D24" s="322"/>
      <c r="E24" s="322"/>
      <c r="F24" s="322"/>
    </row>
    <row r="25" spans="1:6">
      <c r="A25" s="1261" t="s">
        <v>15</v>
      </c>
      <c r="B25" s="1262">
        <v>290</v>
      </c>
      <c r="C25" s="322"/>
      <c r="D25" s="322"/>
      <c r="E25" s="322"/>
      <c r="F25" s="322"/>
    </row>
    <row r="26" spans="1:6">
      <c r="A26" s="1261" t="s">
        <v>16</v>
      </c>
      <c r="B26" s="1262">
        <v>200</v>
      </c>
      <c r="C26" s="322"/>
      <c r="D26" s="322"/>
      <c r="E26" s="322"/>
      <c r="F26" s="322"/>
    </row>
    <row r="27" spans="1:6">
      <c r="A27" s="1261" t="s">
        <v>17</v>
      </c>
      <c r="B27" s="1262">
        <v>34</v>
      </c>
      <c r="C27" s="322"/>
      <c r="D27" s="322"/>
      <c r="E27" s="322"/>
      <c r="F27" s="322"/>
    </row>
    <row r="28" spans="1:6">
      <c r="A28" s="1261" t="s">
        <v>18</v>
      </c>
      <c r="B28" s="1263">
        <v>13192</v>
      </c>
      <c r="C28" s="322"/>
      <c r="D28" s="322"/>
      <c r="E28" s="322"/>
      <c r="F28" s="322"/>
    </row>
    <row r="29" spans="1:6">
      <c r="A29" s="1261" t="s">
        <v>901</v>
      </c>
      <c r="B29" s="1263">
        <v>320</v>
      </c>
      <c r="C29" s="322"/>
      <c r="D29" s="322"/>
      <c r="E29" s="322"/>
      <c r="F29" s="322"/>
    </row>
    <row r="30" spans="1:6">
      <c r="A30" s="1256" t="s">
        <v>902</v>
      </c>
      <c r="B30" s="1264">
        <v>71</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5</v>
      </c>
      <c r="F36" s="1262">
        <v>20329</v>
      </c>
    </row>
    <row r="37" spans="1:6">
      <c r="A37" s="1261" t="s">
        <v>24</v>
      </c>
      <c r="B37" s="1261" t="s">
        <v>27</v>
      </c>
      <c r="C37" s="1262">
        <v>0</v>
      </c>
      <c r="D37" s="1262">
        <v>0</v>
      </c>
      <c r="E37" s="1262">
        <v>0</v>
      </c>
      <c r="F37" s="1262">
        <v>0</v>
      </c>
    </row>
    <row r="38" spans="1:6">
      <c r="A38" s="1261" t="s">
        <v>24</v>
      </c>
      <c r="B38" s="1261" t="s">
        <v>28</v>
      </c>
      <c r="C38" s="1262">
        <v>3</v>
      </c>
      <c r="D38" s="1262">
        <v>343001.73589909298</v>
      </c>
      <c r="E38" s="1262">
        <v>3</v>
      </c>
      <c r="F38" s="1262">
        <v>26473.21</v>
      </c>
    </row>
    <row r="39" spans="1:6">
      <c r="A39" s="1261" t="s">
        <v>29</v>
      </c>
      <c r="B39" s="1261" t="s">
        <v>30</v>
      </c>
      <c r="C39" s="1262">
        <v>9245</v>
      </c>
      <c r="D39" s="1262">
        <v>136116146.15329701</v>
      </c>
      <c r="E39" s="1262">
        <v>17381</v>
      </c>
      <c r="F39" s="1262">
        <v>67383082.913000003</v>
      </c>
    </row>
    <row r="40" spans="1:6">
      <c r="A40" s="1261" t="s">
        <v>29</v>
      </c>
      <c r="B40" s="1261" t="s">
        <v>28</v>
      </c>
      <c r="C40" s="1262">
        <v>1</v>
      </c>
      <c r="D40" s="1262">
        <v>26584.6146106659</v>
      </c>
      <c r="E40" s="1262">
        <v>1</v>
      </c>
      <c r="F40" s="1262">
        <v>3105.2539999999999</v>
      </c>
    </row>
    <row r="41" spans="1:6">
      <c r="A41" s="1261" t="s">
        <v>31</v>
      </c>
      <c r="B41" s="1261" t="s">
        <v>32</v>
      </c>
      <c r="C41" s="1262">
        <v>97</v>
      </c>
      <c r="D41" s="1262">
        <v>2326100.5534500498</v>
      </c>
      <c r="E41" s="1262">
        <v>313</v>
      </c>
      <c r="F41" s="1262">
        <v>20535003</v>
      </c>
    </row>
    <row r="42" spans="1:6">
      <c r="A42" s="1261" t="s">
        <v>31</v>
      </c>
      <c r="B42" s="1261" t="s">
        <v>33</v>
      </c>
      <c r="C42" s="1262">
        <v>9</v>
      </c>
      <c r="D42" s="1262">
        <v>24782117.020319398</v>
      </c>
      <c r="E42" s="1262">
        <v>7</v>
      </c>
      <c r="F42" s="1262">
        <v>22951450</v>
      </c>
    </row>
    <row r="43" spans="1:6">
      <c r="A43" s="1261" t="s">
        <v>31</v>
      </c>
      <c r="B43" s="1261" t="s">
        <v>34</v>
      </c>
      <c r="C43" s="1262">
        <v>0</v>
      </c>
      <c r="D43" s="1262">
        <v>0</v>
      </c>
      <c r="E43" s="1262">
        <v>0</v>
      </c>
      <c r="F43" s="1262">
        <v>0</v>
      </c>
    </row>
    <row r="44" spans="1:6">
      <c r="A44" s="1261" t="s">
        <v>31</v>
      </c>
      <c r="B44" s="1261" t="s">
        <v>35</v>
      </c>
      <c r="C44" s="1262">
        <v>10</v>
      </c>
      <c r="D44" s="1262">
        <v>345355.994698747</v>
      </c>
      <c r="E44" s="1262">
        <v>24</v>
      </c>
      <c r="F44" s="1262">
        <v>493833.6</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7</v>
      </c>
      <c r="F47" s="1262">
        <v>274027.90000000002</v>
      </c>
    </row>
    <row r="48" spans="1:6">
      <c r="A48" s="1261" t="s">
        <v>31</v>
      </c>
      <c r="B48" s="1261" t="s">
        <v>28</v>
      </c>
      <c r="C48" s="1262">
        <v>58</v>
      </c>
      <c r="D48" s="1262">
        <v>10227771.146740099</v>
      </c>
      <c r="E48" s="1262">
        <v>86</v>
      </c>
      <c r="F48" s="1262">
        <v>10325603</v>
      </c>
    </row>
    <row r="49" spans="1:6">
      <c r="A49" s="1261" t="s">
        <v>31</v>
      </c>
      <c r="B49" s="1261" t="s">
        <v>39</v>
      </c>
      <c r="C49" s="1262">
        <v>0</v>
      </c>
      <c r="D49" s="1262">
        <v>0</v>
      </c>
      <c r="E49" s="1262">
        <v>0</v>
      </c>
      <c r="F49" s="1262">
        <v>0</v>
      </c>
    </row>
    <row r="50" spans="1:6">
      <c r="A50" s="1261" t="s">
        <v>31</v>
      </c>
      <c r="B50" s="1261" t="s">
        <v>40</v>
      </c>
      <c r="C50" s="1262">
        <v>9</v>
      </c>
      <c r="D50" s="1262">
        <v>924831.09806640504</v>
      </c>
      <c r="E50" s="1262">
        <v>19</v>
      </c>
      <c r="F50" s="1262">
        <v>788024.5</v>
      </c>
    </row>
    <row r="51" spans="1:6">
      <c r="A51" s="1261" t="s">
        <v>41</v>
      </c>
      <c r="B51" s="1261" t="s">
        <v>42</v>
      </c>
      <c r="C51" s="1262">
        <v>0</v>
      </c>
      <c r="D51" s="1262">
        <v>0</v>
      </c>
      <c r="E51" s="1262">
        <v>105</v>
      </c>
      <c r="F51" s="1262">
        <v>1644152</v>
      </c>
    </row>
    <row r="52" spans="1:6">
      <c r="A52" s="1261" t="s">
        <v>41</v>
      </c>
      <c r="B52" s="1261" t="s">
        <v>28</v>
      </c>
      <c r="C52" s="1262">
        <v>10</v>
      </c>
      <c r="D52" s="1262">
        <v>534805.42690408695</v>
      </c>
      <c r="E52" s="1262">
        <v>23</v>
      </c>
      <c r="F52" s="1262">
        <v>291281.7</v>
      </c>
    </row>
    <row r="53" spans="1:6">
      <c r="A53" s="1261" t="s">
        <v>43</v>
      </c>
      <c r="B53" s="1261" t="s">
        <v>44</v>
      </c>
      <c r="C53" s="1262">
        <v>233</v>
      </c>
      <c r="D53" s="1262">
        <v>5411221.21856781</v>
      </c>
      <c r="E53" s="1262">
        <v>595</v>
      </c>
      <c r="F53" s="1262">
        <v>2233218</v>
      </c>
    </row>
    <row r="54" spans="1:6">
      <c r="A54" s="1261" t="s">
        <v>45</v>
      </c>
      <c r="B54" s="1261" t="s">
        <v>46</v>
      </c>
      <c r="C54" s="1262">
        <v>0</v>
      </c>
      <c r="D54" s="1262">
        <v>0</v>
      </c>
      <c r="E54" s="1262">
        <v>1</v>
      </c>
      <c r="F54" s="1262">
        <v>2748237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78</v>
      </c>
      <c r="D57" s="1262">
        <v>4734776.4888409302</v>
      </c>
      <c r="E57" s="1262">
        <v>153</v>
      </c>
      <c r="F57" s="1262">
        <v>4450738</v>
      </c>
    </row>
    <row r="58" spans="1:6">
      <c r="A58" s="1261" t="s">
        <v>48</v>
      </c>
      <c r="B58" s="1261" t="s">
        <v>50</v>
      </c>
      <c r="C58" s="1262">
        <v>17</v>
      </c>
      <c r="D58" s="1262">
        <v>2924583.9129260299</v>
      </c>
      <c r="E58" s="1262">
        <v>50</v>
      </c>
      <c r="F58" s="1262">
        <v>1652529</v>
      </c>
    </row>
    <row r="59" spans="1:6">
      <c r="A59" s="1261" t="s">
        <v>48</v>
      </c>
      <c r="B59" s="1261" t="s">
        <v>51</v>
      </c>
      <c r="C59" s="1262">
        <v>183</v>
      </c>
      <c r="D59" s="1262">
        <v>9911882.2612715308</v>
      </c>
      <c r="E59" s="1262">
        <v>483</v>
      </c>
      <c r="F59" s="1262">
        <v>13650042</v>
      </c>
    </row>
    <row r="60" spans="1:6">
      <c r="A60" s="1261" t="s">
        <v>48</v>
      </c>
      <c r="B60" s="1261" t="s">
        <v>52</v>
      </c>
      <c r="C60" s="1262">
        <v>106</v>
      </c>
      <c r="D60" s="1262">
        <v>4481296.1924340902</v>
      </c>
      <c r="E60" s="1262">
        <v>176</v>
      </c>
      <c r="F60" s="1262">
        <v>3875557</v>
      </c>
    </row>
    <row r="61" spans="1:6">
      <c r="A61" s="1261" t="s">
        <v>48</v>
      </c>
      <c r="B61" s="1261" t="s">
        <v>53</v>
      </c>
      <c r="C61" s="1262">
        <v>297</v>
      </c>
      <c r="D61" s="1262">
        <v>14807638.990088301</v>
      </c>
      <c r="E61" s="1262">
        <v>732</v>
      </c>
      <c r="F61" s="1262">
        <v>11612138</v>
      </c>
    </row>
    <row r="62" spans="1:6">
      <c r="A62" s="1261" t="s">
        <v>48</v>
      </c>
      <c r="B62" s="1261" t="s">
        <v>54</v>
      </c>
      <c r="C62" s="1262">
        <v>26</v>
      </c>
      <c r="D62" s="1262">
        <v>2965496.0867167702</v>
      </c>
      <c r="E62" s="1262">
        <v>35</v>
      </c>
      <c r="F62" s="1262">
        <v>917734.6</v>
      </c>
    </row>
    <row r="63" spans="1:6">
      <c r="A63" s="1261" t="s">
        <v>48</v>
      </c>
      <c r="B63" s="1261" t="s">
        <v>28</v>
      </c>
      <c r="C63" s="1262">
        <v>228</v>
      </c>
      <c r="D63" s="1262">
        <v>13456728.8631467</v>
      </c>
      <c r="E63" s="1262">
        <v>317</v>
      </c>
      <c r="F63" s="1262">
        <v>16418486</v>
      </c>
    </row>
    <row r="64" spans="1:6">
      <c r="A64" s="1261" t="s">
        <v>55</v>
      </c>
      <c r="B64" s="1261" t="s">
        <v>56</v>
      </c>
      <c r="C64" s="1262">
        <v>0</v>
      </c>
      <c r="D64" s="1262">
        <v>0</v>
      </c>
      <c r="E64" s="1262">
        <v>0</v>
      </c>
      <c r="F64" s="1262">
        <v>0</v>
      </c>
    </row>
    <row r="65" spans="1:6">
      <c r="A65" s="1261" t="s">
        <v>55</v>
      </c>
      <c r="B65" s="1261" t="s">
        <v>28</v>
      </c>
      <c r="C65" s="1262">
        <v>4</v>
      </c>
      <c r="D65" s="1262">
        <v>102990.614158499</v>
      </c>
      <c r="E65" s="1262">
        <v>7</v>
      </c>
      <c r="F65" s="1262">
        <v>70411.789999999994</v>
      </c>
    </row>
    <row r="66" spans="1:6">
      <c r="A66" s="1261" t="s">
        <v>55</v>
      </c>
      <c r="B66" s="1261" t="s">
        <v>57</v>
      </c>
      <c r="C66" s="1262">
        <v>0</v>
      </c>
      <c r="D66" s="1262">
        <v>0</v>
      </c>
      <c r="E66" s="1262">
        <v>7</v>
      </c>
      <c r="F66" s="1262">
        <v>87952.51</v>
      </c>
    </row>
    <row r="67" spans="1:6">
      <c r="A67" s="1261" t="s">
        <v>55</v>
      </c>
      <c r="B67" s="1261" t="s">
        <v>58</v>
      </c>
      <c r="C67" s="1262">
        <v>0</v>
      </c>
      <c r="D67" s="1262">
        <v>0</v>
      </c>
      <c r="E67" s="1262">
        <v>0</v>
      </c>
      <c r="F67" s="1262">
        <v>0</v>
      </c>
    </row>
    <row r="68" spans="1:6">
      <c r="A68" s="1256" t="s">
        <v>55</v>
      </c>
      <c r="B68" s="1256" t="s">
        <v>59</v>
      </c>
      <c r="C68" s="1264">
        <v>5</v>
      </c>
      <c r="D68" s="1264">
        <v>147414.13029186701</v>
      </c>
      <c r="E68" s="1264">
        <v>33</v>
      </c>
      <c r="F68" s="1264">
        <v>1298811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205160803</v>
      </c>
      <c r="E73" s="440"/>
      <c r="F73" s="322"/>
    </row>
    <row r="74" spans="1:6">
      <c r="A74" s="1261" t="s">
        <v>63</v>
      </c>
      <c r="B74" s="1261" t="s">
        <v>670</v>
      </c>
      <c r="C74" s="1274" t="s">
        <v>672</v>
      </c>
      <c r="D74" s="1262">
        <v>8393386.1041286755</v>
      </c>
      <c r="E74" s="440"/>
      <c r="F74" s="322"/>
    </row>
    <row r="75" spans="1:6">
      <c r="A75" s="1261" t="s">
        <v>64</v>
      </c>
      <c r="B75" s="1261" t="s">
        <v>669</v>
      </c>
      <c r="C75" s="1274" t="s">
        <v>673</v>
      </c>
      <c r="D75" s="1262">
        <v>46648471</v>
      </c>
      <c r="E75" s="440"/>
      <c r="F75" s="322"/>
    </row>
    <row r="76" spans="1:6">
      <c r="A76" s="1261" t="s">
        <v>64</v>
      </c>
      <c r="B76" s="1261" t="s">
        <v>670</v>
      </c>
      <c r="C76" s="1274" t="s">
        <v>674</v>
      </c>
      <c r="D76" s="1262">
        <v>1205645.1041286751</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734615.79174264986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7564.0769610429588</v>
      </c>
      <c r="C91" s="322"/>
      <c r="D91" s="322"/>
      <c r="E91" s="322"/>
      <c r="F91" s="322"/>
    </row>
    <row r="92" spans="1:6">
      <c r="A92" s="1256" t="s">
        <v>68</v>
      </c>
      <c r="B92" s="1257">
        <v>4279.7228623595984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4495</v>
      </c>
      <c r="C97" s="322"/>
      <c r="D97" s="322"/>
      <c r="E97" s="322"/>
      <c r="F97" s="322"/>
    </row>
    <row r="98" spans="1:6">
      <c r="A98" s="1261" t="s">
        <v>71</v>
      </c>
      <c r="B98" s="1262">
        <v>9</v>
      </c>
      <c r="C98" s="322"/>
      <c r="D98" s="322"/>
      <c r="E98" s="322"/>
      <c r="F98" s="322"/>
    </row>
    <row r="99" spans="1:6">
      <c r="A99" s="1261" t="s">
        <v>72</v>
      </c>
      <c r="B99" s="1262">
        <v>209</v>
      </c>
      <c r="C99" s="322"/>
      <c r="D99" s="322"/>
      <c r="E99" s="322"/>
      <c r="F99" s="322"/>
    </row>
    <row r="100" spans="1:6">
      <c r="A100" s="1261" t="s">
        <v>73</v>
      </c>
      <c r="B100" s="1262">
        <v>794</v>
      </c>
      <c r="C100" s="322"/>
      <c r="D100" s="322"/>
      <c r="E100" s="322"/>
      <c r="F100" s="322"/>
    </row>
    <row r="101" spans="1:6">
      <c r="A101" s="1261" t="s">
        <v>74</v>
      </c>
      <c r="B101" s="1262">
        <v>166</v>
      </c>
      <c r="C101" s="322"/>
      <c r="D101" s="322"/>
      <c r="E101" s="322"/>
      <c r="F101" s="322"/>
    </row>
    <row r="102" spans="1:6">
      <c r="A102" s="1261" t="s">
        <v>75</v>
      </c>
      <c r="B102" s="1262">
        <v>188</v>
      </c>
      <c r="C102" s="322"/>
      <c r="D102" s="322"/>
      <c r="E102" s="322"/>
      <c r="F102" s="322"/>
    </row>
    <row r="103" spans="1:6">
      <c r="A103" s="1261" t="s">
        <v>76</v>
      </c>
      <c r="B103" s="1262">
        <v>538</v>
      </c>
      <c r="C103" s="322"/>
      <c r="D103" s="322"/>
      <c r="E103" s="322"/>
      <c r="F103" s="322"/>
    </row>
    <row r="104" spans="1:6">
      <c r="A104" s="1261" t="s">
        <v>77</v>
      </c>
      <c r="B104" s="1262">
        <v>8528</v>
      </c>
      <c r="C104" s="322"/>
      <c r="D104" s="322"/>
      <c r="E104" s="322"/>
      <c r="F104" s="322"/>
    </row>
    <row r="105" spans="1:6">
      <c r="A105" s="1256" t="s">
        <v>78</v>
      </c>
      <c r="B105" s="1264">
        <v>13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60</v>
      </c>
      <c r="C123" s="1262">
        <v>40</v>
      </c>
      <c r="D123" s="322"/>
      <c r="E123" s="322"/>
      <c r="F123" s="322"/>
    </row>
    <row r="124" spans="1:6">
      <c r="A124" s="1261" t="s">
        <v>88</v>
      </c>
      <c r="B124" s="1262">
        <v>1</v>
      </c>
      <c r="C124" s="1262">
        <v>4</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281</v>
      </c>
      <c r="C129" s="322"/>
      <c r="D129" s="322"/>
      <c r="E129" s="322"/>
      <c r="F129" s="322"/>
    </row>
    <row r="130" spans="1:6">
      <c r="A130" s="1261" t="s">
        <v>284</v>
      </c>
      <c r="B130" s="1262">
        <v>6</v>
      </c>
      <c r="C130" s="322"/>
      <c r="D130" s="322"/>
      <c r="E130" s="322"/>
      <c r="F130" s="322"/>
    </row>
    <row r="131" spans="1:6">
      <c r="A131" s="1261" t="s">
        <v>285</v>
      </c>
      <c r="B131" s="1262">
        <v>2</v>
      </c>
      <c r="C131" s="322"/>
      <c r="D131" s="322"/>
      <c r="E131" s="322"/>
      <c r="F131" s="322"/>
    </row>
    <row r="132" spans="1:6">
      <c r="A132" s="1256" t="s">
        <v>286</v>
      </c>
      <c r="B132" s="1257">
        <v>52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189860.20647661423</v>
      </c>
      <c r="C3" s="43" t="s">
        <v>163</v>
      </c>
      <c r="D3" s="43"/>
      <c r="E3" s="153"/>
      <c r="F3" s="43"/>
      <c r="G3" s="43"/>
      <c r="H3" s="43"/>
      <c r="I3" s="43"/>
      <c r="J3" s="43"/>
      <c r="K3" s="96"/>
    </row>
    <row r="4" spans="1:11">
      <c r="A4" s="349" t="s">
        <v>164</v>
      </c>
      <c r="B4" s="49">
        <f>IF(ISERROR('SEAP template'!B78+'SEAP template'!C78),0,'SEAP template'!B78+'SEAP template'!C78)</f>
        <v>11843.799823402558</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0.20721364734850659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2748.2370000000001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2748.2370000000001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0.20721364734850659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569.47221254811768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67386.188167</v>
      </c>
      <c r="C5" s="17">
        <f>IF(ISERROR('Eigen informatie GS &amp; warmtenet'!B57),0,'Eigen informatie GS &amp; warmtenet'!B57)</f>
        <v>0</v>
      </c>
      <c r="D5" s="30">
        <f>(SUM(HH_hh_gas_kWh,HH_rest_gas_kWh)/1000)*0.902</f>
        <v>122800.74315265274</v>
      </c>
      <c r="E5" s="17">
        <f>B32*B41</f>
        <v>4286.0008030394838</v>
      </c>
      <c r="F5" s="17">
        <f>B36*B45</f>
        <v>135209.95384793708</v>
      </c>
      <c r="G5" s="18"/>
      <c r="H5" s="17"/>
      <c r="I5" s="17"/>
      <c r="J5" s="17">
        <f>B35*B44+C35*C44</f>
        <v>3153.0910159868922</v>
      </c>
      <c r="K5" s="17"/>
      <c r="L5" s="17"/>
      <c r="M5" s="17"/>
      <c r="N5" s="17">
        <f>B34*B43+C34*C43</f>
        <v>20631.063872486415</v>
      </c>
      <c r="O5" s="17">
        <f>B52*B53*B54</f>
        <v>508.08333333333337</v>
      </c>
      <c r="P5" s="17">
        <f>B60*B61*B62/1000-B60*B61*B62/1000/B63</f>
        <v>2154.5333333333333</v>
      </c>
    </row>
    <row r="6" spans="1:16">
      <c r="A6" s="16" t="s">
        <v>593</v>
      </c>
      <c r="B6" s="717">
        <f>kWh_PV_kleiner_dan_10kW</f>
        <v>7564.0769610429588</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74950.265128042956</v>
      </c>
      <c r="C8" s="21">
        <f>C5</f>
        <v>0</v>
      </c>
      <c r="D8" s="21">
        <f>D5</f>
        <v>122800.74315265274</v>
      </c>
      <c r="E8" s="21">
        <f>E5</f>
        <v>4286.0008030394838</v>
      </c>
      <c r="F8" s="21">
        <f>F5</f>
        <v>135209.95384793708</v>
      </c>
      <c r="G8" s="21"/>
      <c r="H8" s="21"/>
      <c r="I8" s="21"/>
      <c r="J8" s="21">
        <f>J5</f>
        <v>3153.0910159868922</v>
      </c>
      <c r="K8" s="21"/>
      <c r="L8" s="21">
        <f>L5</f>
        <v>0</v>
      </c>
      <c r="M8" s="21">
        <f>M5</f>
        <v>0</v>
      </c>
      <c r="N8" s="21">
        <f>N5</f>
        <v>20631.063872486415</v>
      </c>
      <c r="O8" s="21">
        <f>O5</f>
        <v>508.08333333333337</v>
      </c>
      <c r="P8" s="21">
        <f>P5</f>
        <v>2154.5333333333333</v>
      </c>
    </row>
    <row r="9" spans="1:16">
      <c r="B9" s="19"/>
      <c r="C9" s="19"/>
      <c r="D9" s="253"/>
      <c r="E9" s="19"/>
      <c r="F9" s="19"/>
      <c r="G9" s="19"/>
      <c r="H9" s="19"/>
      <c r="I9" s="19"/>
      <c r="J9" s="19"/>
      <c r="K9" s="19"/>
      <c r="L9" s="19"/>
      <c r="M9" s="19"/>
      <c r="N9" s="19"/>
      <c r="O9" s="19"/>
      <c r="P9" s="19"/>
    </row>
    <row r="10" spans="1:16">
      <c r="A10" s="24" t="s">
        <v>207</v>
      </c>
      <c r="B10" s="25">
        <f ca="1">'EF ele_warmte'!B12</f>
        <v>0.20721364734850659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15530.717806919363</v>
      </c>
      <c r="C12" s="23">
        <f ca="1">C10*C8</f>
        <v>0</v>
      </c>
      <c r="D12" s="23">
        <f>D8*D10</f>
        <v>24805.750116835854</v>
      </c>
      <c r="E12" s="23">
        <f>E10*E8</f>
        <v>972.92218228996285</v>
      </c>
      <c r="F12" s="23">
        <f>F10*F8</f>
        <v>36101.0576773992</v>
      </c>
      <c r="G12" s="23"/>
      <c r="H12" s="23"/>
      <c r="I12" s="23"/>
      <c r="J12" s="23">
        <f>J10*J8</f>
        <v>1116.1942196593598</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17412</v>
      </c>
      <c r="C26" s="36"/>
      <c r="D26" s="224"/>
    </row>
    <row r="27" spans="1:5" s="15" customFormat="1">
      <c r="A27" s="226" t="s">
        <v>696</v>
      </c>
      <c r="B27" s="37">
        <f>SUM(HH_hh_gas_aantal,HH_rest_gas_aantal)</f>
        <v>9246</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8783.7000000000007</v>
      </c>
      <c r="C31" s="34" t="s">
        <v>104</v>
      </c>
      <c r="D31" s="170"/>
    </row>
    <row r="32" spans="1:5">
      <c r="A32" s="167" t="s">
        <v>72</v>
      </c>
      <c r="B32" s="33">
        <f>IF((B21*($B$26-($B$27-0.05*$B$27)-$B$60))&lt;0,0,B21*($B$26-($B$27-0.05*$B$27)-$B$60))</f>
        <v>53.690843694518918</v>
      </c>
      <c r="C32" s="34" t="s">
        <v>104</v>
      </c>
      <c r="D32" s="170"/>
    </row>
    <row r="33" spans="1:6">
      <c r="A33" s="167" t="s">
        <v>73</v>
      </c>
      <c r="B33" s="33">
        <f>IF((B22*($B$26-($B$27-0.05*$B$27)-$B$60))&lt;0,0,B22*($B$26-($B$27-0.05*$B$27)-$B$60))</f>
        <v>1869.7102209495956</v>
      </c>
      <c r="C33" s="34" t="s">
        <v>104</v>
      </c>
      <c r="D33" s="170"/>
    </row>
    <row r="34" spans="1:6">
      <c r="A34" s="167" t="s">
        <v>74</v>
      </c>
      <c r="B34" s="33">
        <f>IF((B24*($B$26-($B$27-0.05*$B$27)-$B$60))&lt;0,0,B24*($B$26-($B$27-0.05*$B$27)-$B$60))</f>
        <v>371.12920739943013</v>
      </c>
      <c r="C34" s="33">
        <f>B26*C24</f>
        <v>3562.4896703753761</v>
      </c>
      <c r="D34" s="229"/>
    </row>
    <row r="35" spans="1:6">
      <c r="A35" s="167" t="s">
        <v>76</v>
      </c>
      <c r="B35" s="33">
        <f>IF((B19*($B$26-($B$27-0.05*$B$27)-$B$60))&lt;0,0,B19*($B$26-($B$27-0.05*$B$27)-$B$60))</f>
        <v>181.31772377619649</v>
      </c>
      <c r="C35" s="33">
        <f>B35/2</f>
        <v>90.658861888098244</v>
      </c>
      <c r="D35" s="229"/>
    </row>
    <row r="36" spans="1:6">
      <c r="A36" s="167" t="s">
        <v>77</v>
      </c>
      <c r="B36" s="33">
        <f>IF((B18*($B$26-($B$27-0.05*$B$27)-$B$60))&lt;0,0,B18*($B$26-($B$27-0.05*$B$27)-$B$60))</f>
        <v>6039.4520041802607</v>
      </c>
      <c r="C36" s="34" t="s">
        <v>104</v>
      </c>
      <c r="D36" s="170"/>
    </row>
    <row r="37" spans="1:6">
      <c r="A37" s="167" t="s">
        <v>78</v>
      </c>
      <c r="B37" s="33">
        <f>B60</f>
        <v>113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325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113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52577.224600000001</v>
      </c>
      <c r="C5" s="17">
        <f>IF(ISERROR('Eigen informatie GS &amp; warmtenet'!B58),0,'Eigen informatie GS &amp; warmtenet'!B58)</f>
        <v>0</v>
      </c>
      <c r="D5" s="30">
        <f>SUM(D6:D12)</f>
        <v>48060.727321472761</v>
      </c>
      <c r="E5" s="17">
        <f>SUM(E6:E12)</f>
        <v>805.44276033497897</v>
      </c>
      <c r="F5" s="17">
        <f>SUM(F6:F12)</f>
        <v>11692.199689804784</v>
      </c>
      <c r="G5" s="18"/>
      <c r="H5" s="17"/>
      <c r="I5" s="17"/>
      <c r="J5" s="17">
        <f>SUM(J6:J12)</f>
        <v>0</v>
      </c>
      <c r="K5" s="17"/>
      <c r="L5" s="17"/>
      <c r="M5" s="17"/>
      <c r="N5" s="17">
        <f>SUM(N6:N12)</f>
        <v>3400.0429043406129</v>
      </c>
      <c r="O5" s="17">
        <f>B38*B39*B40</f>
        <v>9.3800000000000008</v>
      </c>
      <c r="P5" s="17">
        <f>B46*B47*B48/1000-B46*B47*B48/1000/B49</f>
        <v>38.133333333333333</v>
      </c>
      <c r="R5" s="32"/>
    </row>
    <row r="6" spans="1:18">
      <c r="A6" s="32" t="s">
        <v>53</v>
      </c>
      <c r="B6" s="37">
        <f>B26</f>
        <v>11612.138000000001</v>
      </c>
      <c r="C6" s="33"/>
      <c r="D6" s="37">
        <f>IF(ISERROR(TER_kantoor_gas_kWh/1000),0,TER_kantoor_gas_kWh/1000)*0.902</f>
        <v>13356.490369059647</v>
      </c>
      <c r="E6" s="33">
        <f>$C$26*'E Balans VL '!I12/100/3.6*1000000</f>
        <v>0.16284851010054613</v>
      </c>
      <c r="F6" s="33">
        <f>$C$26*('E Balans VL '!L12+'E Balans VL '!N12)/100/3.6*1000000</f>
        <v>1614.0681276313692</v>
      </c>
      <c r="G6" s="34"/>
      <c r="H6" s="33"/>
      <c r="I6" s="33"/>
      <c r="J6" s="33">
        <f>$C$26*('E Balans VL '!D12+'E Balans VL '!E12)/100/3.6*1000000</f>
        <v>0</v>
      </c>
      <c r="K6" s="33"/>
      <c r="L6" s="33"/>
      <c r="M6" s="33"/>
      <c r="N6" s="33">
        <f>$C$26*'E Balans VL '!Y12/100/3.6*1000000</f>
        <v>143.72090965996941</v>
      </c>
      <c r="O6" s="33"/>
      <c r="P6" s="33"/>
      <c r="R6" s="32"/>
    </row>
    <row r="7" spans="1:18">
      <c r="A7" s="32" t="s">
        <v>52</v>
      </c>
      <c r="B7" s="37">
        <f t="shared" ref="B7:B12" si="0">B27</f>
        <v>3875.5569999999998</v>
      </c>
      <c r="C7" s="33"/>
      <c r="D7" s="37">
        <f>IF(ISERROR(TER_horeca_gas_kWh/1000),0,TER_horeca_gas_kWh/1000)*0.902</f>
        <v>4042.129165575549</v>
      </c>
      <c r="E7" s="33">
        <f>$C$27*'E Balans VL '!I9/100/3.6*1000000</f>
        <v>55.320630709753267</v>
      </c>
      <c r="F7" s="33">
        <f>$C$27*('E Balans VL '!L9+'E Balans VL '!N9)/100/3.6*1000000</f>
        <v>602.49327680065346</v>
      </c>
      <c r="G7" s="34"/>
      <c r="H7" s="33"/>
      <c r="I7" s="33"/>
      <c r="J7" s="33">
        <f>$C$27*('E Balans VL '!D9+'E Balans VL '!E9)/100/3.6*1000000</f>
        <v>0</v>
      </c>
      <c r="K7" s="33"/>
      <c r="L7" s="33"/>
      <c r="M7" s="33"/>
      <c r="N7" s="33">
        <f>$C$27*'E Balans VL '!Y9/100/3.6*1000000</f>
        <v>0.9986700602483044</v>
      </c>
      <c r="O7" s="33"/>
      <c r="P7" s="33"/>
      <c r="R7" s="32"/>
    </row>
    <row r="8" spans="1:18">
      <c r="A8" s="6" t="s">
        <v>51</v>
      </c>
      <c r="B8" s="37">
        <f t="shared" si="0"/>
        <v>13650.041999999999</v>
      </c>
      <c r="C8" s="33"/>
      <c r="D8" s="37">
        <f>IF(ISERROR(TER_handel_gas_kWh/1000),0,TER_handel_gas_kWh/1000)*0.902</f>
        <v>8940.5177996669208</v>
      </c>
      <c r="E8" s="33">
        <f>$C$28*'E Balans VL '!I13/100/3.6*1000000</f>
        <v>369.4415547373186</v>
      </c>
      <c r="F8" s="33">
        <f>$C$28*('E Balans VL '!L13+'E Balans VL '!N13)/100/3.6*1000000</f>
        <v>2119.5971678646815</v>
      </c>
      <c r="G8" s="34"/>
      <c r="H8" s="33"/>
      <c r="I8" s="33"/>
      <c r="J8" s="33">
        <f>$C$28*('E Balans VL '!D13+'E Balans VL '!E13)/100/3.6*1000000</f>
        <v>0</v>
      </c>
      <c r="K8" s="33"/>
      <c r="L8" s="33"/>
      <c r="M8" s="33"/>
      <c r="N8" s="33">
        <f>$C$28*'E Balans VL '!Y13/100/3.6*1000000</f>
        <v>110.60191456353901</v>
      </c>
      <c r="O8" s="33"/>
      <c r="P8" s="33"/>
      <c r="R8" s="32"/>
    </row>
    <row r="9" spans="1:18">
      <c r="A9" s="32" t="s">
        <v>50</v>
      </c>
      <c r="B9" s="37">
        <f t="shared" si="0"/>
        <v>1652.529</v>
      </c>
      <c r="C9" s="33"/>
      <c r="D9" s="37">
        <f>IF(ISERROR(TER_gezond_gas_kWh/1000),0,TER_gezond_gas_kWh/1000)*0.902</f>
        <v>2637.974689459279</v>
      </c>
      <c r="E9" s="33">
        <f>$C$29*'E Balans VL '!I10/100/3.6*1000000</f>
        <v>0.10311695057384163</v>
      </c>
      <c r="F9" s="33">
        <f>$C$29*('E Balans VL '!L10+'E Balans VL '!N10)/100/3.6*1000000</f>
        <v>213.93561335910798</v>
      </c>
      <c r="G9" s="34"/>
      <c r="H9" s="33"/>
      <c r="I9" s="33"/>
      <c r="J9" s="33">
        <f>$C$29*('E Balans VL '!D10+'E Balans VL '!E10)/100/3.6*1000000</f>
        <v>0</v>
      </c>
      <c r="K9" s="33"/>
      <c r="L9" s="33"/>
      <c r="M9" s="33"/>
      <c r="N9" s="33">
        <f>$C$29*'E Balans VL '!Y10/100/3.6*1000000</f>
        <v>13.549122955716854</v>
      </c>
      <c r="O9" s="33"/>
      <c r="P9" s="33"/>
      <c r="R9" s="32"/>
    </row>
    <row r="10" spans="1:18">
      <c r="A10" s="32" t="s">
        <v>49</v>
      </c>
      <c r="B10" s="37">
        <f t="shared" si="0"/>
        <v>4450.7380000000003</v>
      </c>
      <c r="C10" s="33"/>
      <c r="D10" s="37">
        <f>IF(ISERROR(TER_ander_gas_kWh/1000),0,TER_ander_gas_kWh/1000)*0.902</f>
        <v>4270.7683929345194</v>
      </c>
      <c r="E10" s="33">
        <f>$C$30*'E Balans VL '!I14/100/3.6*1000000</f>
        <v>134.36570235348418</v>
      </c>
      <c r="F10" s="33">
        <f>$C$30*('E Balans VL '!L14+'E Balans VL '!N14)/100/3.6*1000000</f>
        <v>2817.9752897121057</v>
      </c>
      <c r="G10" s="34"/>
      <c r="H10" s="33"/>
      <c r="I10" s="33"/>
      <c r="J10" s="33">
        <f>$C$30*('E Balans VL '!D14+'E Balans VL '!E14)/100/3.6*1000000</f>
        <v>0</v>
      </c>
      <c r="K10" s="33"/>
      <c r="L10" s="33"/>
      <c r="M10" s="33"/>
      <c r="N10" s="33">
        <f>$C$30*'E Balans VL '!Y14/100/3.6*1000000</f>
        <v>1801.4928859225374</v>
      </c>
      <c r="O10" s="33"/>
      <c r="P10" s="33"/>
      <c r="R10" s="32"/>
    </row>
    <row r="11" spans="1:18">
      <c r="A11" s="32" t="s">
        <v>54</v>
      </c>
      <c r="B11" s="37">
        <f t="shared" si="0"/>
        <v>917.7346</v>
      </c>
      <c r="C11" s="33"/>
      <c r="D11" s="37">
        <f>IF(ISERROR(TER_onderwijs_gas_kWh/1000),0,TER_onderwijs_gas_kWh/1000)*0.902</f>
        <v>2674.8774702185269</v>
      </c>
      <c r="E11" s="33">
        <f>$C$31*'E Balans VL '!I11/100/3.6*1000000</f>
        <v>1.1557715704862179</v>
      </c>
      <c r="F11" s="33">
        <f>$C$31*('E Balans VL '!L11+'E Balans VL '!N11)/100/3.6*1000000</f>
        <v>340.8966665884434</v>
      </c>
      <c r="G11" s="34"/>
      <c r="H11" s="33"/>
      <c r="I11" s="33"/>
      <c r="J11" s="33">
        <f>$C$31*('E Balans VL '!D11+'E Balans VL '!E11)/100/3.6*1000000</f>
        <v>0</v>
      </c>
      <c r="K11" s="33"/>
      <c r="L11" s="33"/>
      <c r="M11" s="33"/>
      <c r="N11" s="33">
        <f>$C$31*'E Balans VL '!Y11/100/3.6*1000000</f>
        <v>1.1621418170626594</v>
      </c>
      <c r="O11" s="33"/>
      <c r="P11" s="33"/>
      <c r="R11" s="32"/>
    </row>
    <row r="12" spans="1:18">
      <c r="A12" s="32" t="s">
        <v>249</v>
      </c>
      <c r="B12" s="37">
        <f t="shared" si="0"/>
        <v>16418.486000000001</v>
      </c>
      <c r="C12" s="33"/>
      <c r="D12" s="37">
        <f>IF(ISERROR(TER_rest_gas_kWh/1000),0,TER_rest_gas_kWh/1000)*0.902</f>
        <v>12137.969434558323</v>
      </c>
      <c r="E12" s="33">
        <f>$C$32*'E Balans VL '!I8/100/3.6*1000000</f>
        <v>244.89313550326236</v>
      </c>
      <c r="F12" s="33">
        <f>$C$32*('E Balans VL '!L8+'E Balans VL '!N8)/100/3.6*1000000</f>
        <v>3983.2335478484229</v>
      </c>
      <c r="G12" s="34"/>
      <c r="H12" s="33"/>
      <c r="I12" s="33"/>
      <c r="J12" s="33">
        <f>$C$32*('E Balans VL '!D8+'E Balans VL '!E8)/100/3.6*1000000</f>
        <v>0</v>
      </c>
      <c r="K12" s="33"/>
      <c r="L12" s="33"/>
      <c r="M12" s="33"/>
      <c r="N12" s="33">
        <f>$C$32*'E Balans VL '!Y8/100/3.6*1000000</f>
        <v>1328.5172593615396</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52577.224600000001</v>
      </c>
      <c r="C16" s="21">
        <f t="shared" ca="1" si="1"/>
        <v>0</v>
      </c>
      <c r="D16" s="21">
        <f t="shared" ca="1" si="1"/>
        <v>48060.727321472761</v>
      </c>
      <c r="E16" s="21">
        <f t="shared" si="1"/>
        <v>805.44276033497897</v>
      </c>
      <c r="F16" s="21">
        <f t="shared" ca="1" si="1"/>
        <v>11692.199689804784</v>
      </c>
      <c r="G16" s="21">
        <f t="shared" si="1"/>
        <v>0</v>
      </c>
      <c r="H16" s="21">
        <f t="shared" si="1"/>
        <v>0</v>
      </c>
      <c r="I16" s="21">
        <f t="shared" si="1"/>
        <v>0</v>
      </c>
      <c r="J16" s="21">
        <f t="shared" si="1"/>
        <v>0</v>
      </c>
      <c r="K16" s="21">
        <f t="shared" si="1"/>
        <v>0</v>
      </c>
      <c r="L16" s="21">
        <f t="shared" ca="1" si="1"/>
        <v>0</v>
      </c>
      <c r="M16" s="21">
        <f t="shared" si="1"/>
        <v>0</v>
      </c>
      <c r="N16" s="21">
        <f t="shared" ca="1" si="1"/>
        <v>3400.0429043406129</v>
      </c>
      <c r="O16" s="21">
        <f>O5</f>
        <v>9.3800000000000008</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0.20721364734850659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10894.718476827626</v>
      </c>
      <c r="C20" s="23">
        <f t="shared" ref="C20:P20" ca="1" si="2">C16*C18</f>
        <v>0</v>
      </c>
      <c r="D20" s="23">
        <f t="shared" ca="1" si="2"/>
        <v>9708.2669189374992</v>
      </c>
      <c r="E20" s="23">
        <f t="shared" si="2"/>
        <v>182.83550659604023</v>
      </c>
      <c r="F20" s="23">
        <f t="shared" ca="1" si="2"/>
        <v>3121.8173171778776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11612.138000000001</v>
      </c>
      <c r="C26" s="39">
        <f>IF(ISERROR(B26*3.6/1000000/'E Balans VL '!Z12*100),0,B26*3.6/1000000/'E Balans VL '!Z12*100)</f>
        <v>0.31540742669928878</v>
      </c>
      <c r="D26" s="232" t="s">
        <v>651</v>
      </c>
      <c r="F26" s="6"/>
    </row>
    <row r="27" spans="1:18">
      <c r="A27" s="227" t="s">
        <v>52</v>
      </c>
      <c r="B27" s="33">
        <f>IF(ISERROR(TER_horeca_ele_kWh/1000),0,TER_horeca_ele_kWh/1000)</f>
        <v>3875.5569999999998</v>
      </c>
      <c r="C27" s="39">
        <f>IF(ISERROR(B27*3.6/1000000/'E Balans VL '!Z9*100),0,B27*3.6/1000000/'E Balans VL '!Z9*100)</f>
        <v>0.3114311904006718</v>
      </c>
      <c r="D27" s="232" t="s">
        <v>651</v>
      </c>
      <c r="F27" s="6"/>
    </row>
    <row r="28" spans="1:18">
      <c r="A28" s="167" t="s">
        <v>51</v>
      </c>
      <c r="B28" s="33">
        <f>IF(ISERROR(TER_handel_ele_kWh/1000),0,TER_handel_ele_kWh/1000)</f>
        <v>13650.041999999999</v>
      </c>
      <c r="C28" s="39">
        <f>IF(ISERROR(B28*3.6/1000000/'E Balans VL '!Z13*100),0,B28*3.6/1000000/'E Balans VL '!Z13*100)</f>
        <v>0.40315573622579448</v>
      </c>
      <c r="D28" s="232" t="s">
        <v>651</v>
      </c>
      <c r="F28" s="6"/>
    </row>
    <row r="29" spans="1:18">
      <c r="A29" s="227" t="s">
        <v>50</v>
      </c>
      <c r="B29" s="33">
        <f>IF(ISERROR(TER_gezond_ele_kWh/1000),0,TER_gezond_ele_kWh/1000)</f>
        <v>1652.529</v>
      </c>
      <c r="C29" s="39">
        <f>IF(ISERROR(B29*3.6/1000000/'E Balans VL '!Z10*100),0,B29*3.6/1000000/'E Balans VL '!Z10*100)</f>
        <v>0.18899311958744799</v>
      </c>
      <c r="D29" s="232" t="s">
        <v>651</v>
      </c>
      <c r="F29" s="6"/>
    </row>
    <row r="30" spans="1:18">
      <c r="A30" s="227" t="s">
        <v>49</v>
      </c>
      <c r="B30" s="33">
        <f>IF(ISERROR(TER_ander_ele_kWh/1000),0,TER_ander_ele_kWh/1000)</f>
        <v>4450.7380000000003</v>
      </c>
      <c r="C30" s="39">
        <f>IF(ISERROR(B30*3.6/1000000/'E Balans VL '!Z14*100),0,B30*3.6/1000000/'E Balans VL '!Z14*100)</f>
        <v>0.20799226035150814</v>
      </c>
      <c r="D30" s="232" t="s">
        <v>651</v>
      </c>
      <c r="F30" s="6"/>
    </row>
    <row r="31" spans="1:18">
      <c r="A31" s="227" t="s">
        <v>54</v>
      </c>
      <c r="B31" s="33">
        <f>IF(ISERROR(TER_onderwijs_ele_kWh/1000),0,TER_onderwijs_ele_kWh/1000)</f>
        <v>917.7346</v>
      </c>
      <c r="C31" s="39">
        <f>IF(ISERROR(B31*3.6/1000000/'E Balans VL '!Z11*100),0,B31*3.6/1000000/'E Balans VL '!Z11*100)</f>
        <v>0.24234485643674317</v>
      </c>
      <c r="D31" s="232" t="s">
        <v>651</v>
      </c>
    </row>
    <row r="32" spans="1:18">
      <c r="A32" s="227" t="s">
        <v>249</v>
      </c>
      <c r="B32" s="33">
        <f>IF(ISERROR(TER_rest_ele_kWh/1000),0,TER_rest_ele_kWh/1000)</f>
        <v>16418.486000000001</v>
      </c>
      <c r="C32" s="39">
        <f>IF(ISERROR(B32*3.6/1000000/'E Balans VL '!Z8*100),0,B32*3.6/1000000/'E Balans VL '!Z8*100)</f>
        <v>0.14027142660839997</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6</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55367.94200000001</v>
      </c>
      <c r="C5" s="17">
        <f>IF(ISERROR('Eigen informatie GS &amp; warmtenet'!B59),0,'Eigen informatie GS &amp; warmtenet'!B59)</f>
        <v>0</v>
      </c>
      <c r="D5" s="30">
        <f>SUM(D6:D15)</f>
        <v>34822.77058357378</v>
      </c>
      <c r="E5" s="17">
        <f>SUM(E6:E15)</f>
        <v>6278.5878120670077</v>
      </c>
      <c r="F5" s="17">
        <f>SUM(F6:F15)</f>
        <v>20454.543026312578</v>
      </c>
      <c r="G5" s="18"/>
      <c r="H5" s="17"/>
      <c r="I5" s="17"/>
      <c r="J5" s="17">
        <f>SUM(J6:J15)</f>
        <v>62.179320472918803</v>
      </c>
      <c r="K5" s="17"/>
      <c r="L5" s="17"/>
      <c r="M5" s="17"/>
      <c r="N5" s="17">
        <f>SUM(N6:N15)</f>
        <v>3055.7264150557335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493.83359999999999</v>
      </c>
      <c r="C8" s="33"/>
      <c r="D8" s="37">
        <f>IF( ISERROR(IND_metaal_Gas_kWH/1000),0,IND_metaal_Gas_kWH/1000)*0.902</f>
        <v>311.51110721826979</v>
      </c>
      <c r="E8" s="33">
        <f>C30*'E Balans VL '!I18/100/3.6*1000000</f>
        <v>12.35892662742814</v>
      </c>
      <c r="F8" s="33">
        <f>C30*'E Balans VL '!L18/100/3.6*1000000+C30*'E Balans VL '!N18/100/3.6*1000000</f>
        <v>154.76990669465684</v>
      </c>
      <c r="G8" s="34"/>
      <c r="H8" s="33"/>
      <c r="I8" s="33"/>
      <c r="J8" s="40">
        <f>C30*'E Balans VL '!D18/100/3.6*1000000+C30*'E Balans VL '!E18/100/3.6*1000000</f>
        <v>0</v>
      </c>
      <c r="K8" s="33"/>
      <c r="L8" s="33"/>
      <c r="M8" s="33"/>
      <c r="N8" s="33">
        <f>C30*'E Balans VL '!Y18/100/3.6*1000000</f>
        <v>12.406381641949251</v>
      </c>
      <c r="O8" s="33"/>
      <c r="P8" s="33"/>
      <c r="R8" s="32"/>
    </row>
    <row r="9" spans="1:18">
      <c r="A9" s="6" t="s">
        <v>32</v>
      </c>
      <c r="B9" s="37">
        <f t="shared" si="0"/>
        <v>20535.003000000001</v>
      </c>
      <c r="C9" s="33"/>
      <c r="D9" s="37">
        <f>IF( ISERROR(IND_andere_gas_kWh/1000),0,IND_andere_gas_kWh/1000)*0.902</f>
        <v>2098.142699211945</v>
      </c>
      <c r="E9" s="33">
        <f>C31*'E Balans VL '!I19/100/3.6*1000000</f>
        <v>5646.2835807103284</v>
      </c>
      <c r="F9" s="33">
        <f>C31*'E Balans VL '!L19/100/3.6*1000000+C31*'E Balans VL '!N19/100/3.6*1000000</f>
        <v>16185.15571108103</v>
      </c>
      <c r="G9" s="34"/>
      <c r="H9" s="33"/>
      <c r="I9" s="33"/>
      <c r="J9" s="40">
        <f>C31*'E Balans VL '!D19/100/3.6*1000000+C31*'E Balans VL '!E19/100/3.6*1000000</f>
        <v>0</v>
      </c>
      <c r="K9" s="33"/>
      <c r="L9" s="33"/>
      <c r="M9" s="33"/>
      <c r="N9" s="33">
        <f>C31*'E Balans VL '!Y19/100/3.6*1000000</f>
        <v>1654.3127819245303</v>
      </c>
      <c r="O9" s="33"/>
      <c r="P9" s="33"/>
      <c r="R9" s="32"/>
    </row>
    <row r="10" spans="1:18">
      <c r="A10" s="6" t="s">
        <v>40</v>
      </c>
      <c r="B10" s="37">
        <f t="shared" si="0"/>
        <v>788.02449999999999</v>
      </c>
      <c r="C10" s="33"/>
      <c r="D10" s="37">
        <f>IF( ISERROR(IND_voed_gas_kWh/1000),0,IND_voed_gas_kWh/1000)*0.902</f>
        <v>834.19765045589736</v>
      </c>
      <c r="E10" s="33">
        <f>C32*'E Balans VL '!I20/100/3.6*1000000</f>
        <v>8.0334756523258211</v>
      </c>
      <c r="F10" s="33">
        <f>C32*'E Balans VL '!L20/100/3.6*1000000+C32*'E Balans VL '!N20/100/3.6*1000000</f>
        <v>1488.5733518825168</v>
      </c>
      <c r="G10" s="34"/>
      <c r="H10" s="33"/>
      <c r="I10" s="33"/>
      <c r="J10" s="40">
        <f>C32*'E Balans VL '!D20/100/3.6*1000000+C32*'E Balans VL '!E20/100/3.6*1000000</f>
        <v>18.860004712837569</v>
      </c>
      <c r="K10" s="33"/>
      <c r="L10" s="33"/>
      <c r="M10" s="33"/>
      <c r="N10" s="33">
        <f>C32*'E Balans VL '!Y20/100/3.6*1000000</f>
        <v>415.3796807919457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274.02790000000005</v>
      </c>
      <c r="C13" s="33"/>
      <c r="D13" s="37">
        <f>IF( ISERROR(IND_papier_gas_kWh/1000),0,IND_papier_gas_kWh/1000)*0.902</f>
        <v>0</v>
      </c>
      <c r="E13" s="33">
        <f>C35*'E Balans VL '!I23/100/3.6*1000000</f>
        <v>0.56753027733786365</v>
      </c>
      <c r="F13" s="33">
        <f>C35*'E Balans VL '!L23/100/3.6*1000000+C35*'E Balans VL '!N23/100/3.6*1000000</f>
        <v>5.4345607261250963</v>
      </c>
      <c r="G13" s="34"/>
      <c r="H13" s="33"/>
      <c r="I13" s="33"/>
      <c r="J13" s="40">
        <f>C35*'E Balans VL '!D23/100/3.6*1000000+C35*'E Balans VL '!E23/100/3.6*1000000</f>
        <v>0</v>
      </c>
      <c r="K13" s="33"/>
      <c r="L13" s="33"/>
      <c r="M13" s="33"/>
      <c r="N13" s="33">
        <f>C35*'E Balans VL '!Y23/100/3.6*1000000</f>
        <v>19.005219951864383</v>
      </c>
      <c r="O13" s="33"/>
      <c r="P13" s="33"/>
      <c r="R13" s="32"/>
    </row>
    <row r="14" spans="1:18">
      <c r="A14" s="6" t="s">
        <v>33</v>
      </c>
      <c r="B14" s="37">
        <f t="shared" si="0"/>
        <v>22951.45</v>
      </c>
      <c r="C14" s="33"/>
      <c r="D14" s="37">
        <f>IF( ISERROR(IND_chemie_gas_kWh/1000),0,IND_chemie_gas_kWh/1000)*0.902</f>
        <v>22353.469552328097</v>
      </c>
      <c r="E14" s="33">
        <f>C36*'E Balans VL '!I24/100/3.6*1000000</f>
        <v>86.048757965015199</v>
      </c>
      <c r="F14" s="33">
        <f>C36*'E Balans VL '!L24/100/3.6*1000000+C36*'E Balans VL '!N24/100/3.6*1000000</f>
        <v>267.0160795201104</v>
      </c>
      <c r="G14" s="34"/>
      <c r="H14" s="33"/>
      <c r="I14" s="33"/>
      <c r="J14" s="40">
        <f>C36*'E Balans VL '!D24/100/3.6*1000000+C36*'E Balans VL '!E24/100/3.6*1000000</f>
        <v>0</v>
      </c>
      <c r="K14" s="33"/>
      <c r="L14" s="33"/>
      <c r="M14" s="33"/>
      <c r="N14" s="33">
        <f>C36*'E Balans VL '!Y24/100/3.6*1000000</f>
        <v>392.11450840144062</v>
      </c>
      <c r="O14" s="33"/>
      <c r="P14" s="33"/>
      <c r="R14" s="32"/>
    </row>
    <row r="15" spans="1:18">
      <c r="A15" s="6" t="s">
        <v>259</v>
      </c>
      <c r="B15" s="37">
        <f t="shared" si="0"/>
        <v>10325.602999999999</v>
      </c>
      <c r="C15" s="33"/>
      <c r="D15" s="37">
        <f>IF( ISERROR(IND_rest_gas_kWh/1000),0,IND_rest_gas_kWh/1000)*0.902</f>
        <v>9225.4495743595689</v>
      </c>
      <c r="E15" s="33">
        <f>C37*'E Balans VL '!I15/100/3.6*1000000</f>
        <v>525.29554083457185</v>
      </c>
      <c r="F15" s="33">
        <f>C37*'E Balans VL '!L15/100/3.6*1000000+C37*'E Balans VL '!N15/100/3.6*1000000</f>
        <v>2353.5934164081382</v>
      </c>
      <c r="G15" s="34"/>
      <c r="H15" s="33"/>
      <c r="I15" s="33"/>
      <c r="J15" s="40">
        <f>C37*'E Balans VL '!D15/100/3.6*1000000+C37*'E Balans VL '!E15/100/3.6*1000000</f>
        <v>43.319315760081238</v>
      </c>
      <c r="K15" s="33"/>
      <c r="L15" s="33"/>
      <c r="M15" s="33"/>
      <c r="N15" s="33">
        <f>C37*'E Balans VL '!Y15/100/3.6*1000000</f>
        <v>562.50784234400282</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55367.94200000001</v>
      </c>
      <c r="C18" s="21">
        <f>C5+C16</f>
        <v>0</v>
      </c>
      <c r="D18" s="21">
        <f>MAX((D5+D16),0)</f>
        <v>34822.77058357378</v>
      </c>
      <c r="E18" s="21">
        <f>MAX((E5+E16),0)</f>
        <v>6278.5878120670077</v>
      </c>
      <c r="F18" s="21">
        <f>MAX((F5+F16),0)</f>
        <v>20454.543026312578</v>
      </c>
      <c r="G18" s="21"/>
      <c r="H18" s="21"/>
      <c r="I18" s="21"/>
      <c r="J18" s="21">
        <f>MAX((J5+J16),0)</f>
        <v>62.179320472918803</v>
      </c>
      <c r="K18" s="21"/>
      <c r="L18" s="21">
        <f>MAX((L5+L16),0)</f>
        <v>0</v>
      </c>
      <c r="M18" s="21"/>
      <c r="N18" s="21">
        <f>MAX((N5+N16),0)</f>
        <v>3055.7264150557335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0.20721364734850659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11472.993208000569</v>
      </c>
      <c r="C22" s="23">
        <f ca="1">C18*C20</f>
        <v>0</v>
      </c>
      <c r="D22" s="23">
        <f>D18*D20</f>
        <v>7034.1996578819044</v>
      </c>
      <c r="E22" s="23">
        <f>E18*E20</f>
        <v>1425.2394333392108</v>
      </c>
      <c r="F22" s="23">
        <f>F18*F20</f>
        <v>5461.3629880254584</v>
      </c>
      <c r="G22" s="23"/>
      <c r="H22" s="23"/>
      <c r="I22" s="23"/>
      <c r="J22" s="23">
        <f>J18*J20</f>
        <v>22.011479447413254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493.83359999999999</v>
      </c>
      <c r="C30" s="39">
        <f>IF(ISERROR(B30*3.6/1000000/'E Balans VL '!Z18*100),0,B30*3.6/1000000/'E Balans VL '!Z18*100)</f>
        <v>6.9120246813472438E-2</v>
      </c>
      <c r="D30" s="232" t="s">
        <v>651</v>
      </c>
    </row>
    <row r="31" spans="1:18">
      <c r="A31" s="6" t="s">
        <v>32</v>
      </c>
      <c r="B31" s="37">
        <f>IF( ISERROR(IND_ander_ele_kWh/1000),0,IND_ander_ele_kWh/1000)</f>
        <v>20535.003000000001</v>
      </c>
      <c r="C31" s="39">
        <f>IF(ISERROR(B31*3.6/1000000/'E Balans VL '!Z19*100),0,B31*3.6/1000000/'E Balans VL '!Z19*100)</f>
        <v>0.89881375005922814</v>
      </c>
      <c r="D31" s="232" t="s">
        <v>651</v>
      </c>
    </row>
    <row r="32" spans="1:18">
      <c r="A32" s="167" t="s">
        <v>40</v>
      </c>
      <c r="B32" s="37">
        <f>IF( ISERROR(IND_voed_ele_kWh/1000),0,IND_voed_ele_kWh/1000)</f>
        <v>788.02449999999999</v>
      </c>
      <c r="C32" s="39">
        <f>IF(ISERROR(B32*3.6/1000000/'E Balans VL '!Z20*100),0,B32*3.6/1000000/'E Balans VL '!Z20*100)</f>
        <v>0.19508869719715363</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274.02790000000005</v>
      </c>
      <c r="C35" s="39">
        <f>IF(ISERROR(B35*3.6/1000000/'E Balans VL '!Z22*100),0,B35*3.6/1000000/'E Balans VL '!Z22*100)</f>
        <v>7.7757938282528912E-3</v>
      </c>
      <c r="D35" s="232" t="s">
        <v>651</v>
      </c>
    </row>
    <row r="36" spans="1:5">
      <c r="A36" s="167" t="s">
        <v>33</v>
      </c>
      <c r="B36" s="37">
        <f>IF( ISERROR(IND_chemie_ele_kWh/1000),0,IND_chemie_ele_kWh/1000)</f>
        <v>22951.45</v>
      </c>
      <c r="C36" s="39">
        <f>IF(ISERROR(B36*3.6/1000000/'E Balans VL '!Z24*100),0,B36*3.6/1000000/'E Balans VL '!Z24*100)</f>
        <v>0.58522694335452152</v>
      </c>
      <c r="D36" s="232" t="s">
        <v>651</v>
      </c>
    </row>
    <row r="37" spans="1:5">
      <c r="A37" s="167" t="s">
        <v>259</v>
      </c>
      <c r="B37" s="37">
        <f>IF( ISERROR(IND_rest_ele_kWh/1000),0,IND_rest_ele_kWh/1000)</f>
        <v>10325.602999999999</v>
      </c>
      <c r="C37" s="39">
        <f>IF(ISERROR(B37*3.6/1000000/'E Balans VL '!Z15*100),0,B37*3.6/1000000/'E Balans VL '!Z15*100)</f>
        <v>7.6562578426958627E-2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1935.4337</v>
      </c>
      <c r="C5" s="17">
        <f>'Eigen informatie GS &amp; warmtenet'!B60</f>
        <v>0</v>
      </c>
      <c r="D5" s="30">
        <f>IF(ISERROR(SUM(LB_lb_gas_kWh,LB_rest_gas_kWh)/1000),0,SUM(LB_lb_gas_kWh,LB_rest_gas_kWh)/1000)*0.902</f>
        <v>482.39449506748645</v>
      </c>
      <c r="E5" s="17">
        <f>B17*'E Balans VL '!I25/3.6*1000000/100</f>
        <v>41.502548793919402</v>
      </c>
      <c r="F5" s="17">
        <f>B17*('E Balans VL '!L25/3.6*1000000+'E Balans VL '!N25/3.6*1000000)/100</f>
        <v>6277.9267441828924</v>
      </c>
      <c r="G5" s="18"/>
      <c r="H5" s="17"/>
      <c r="I5" s="17"/>
      <c r="J5" s="17">
        <f>('E Balans VL '!D25+'E Balans VL '!E25)/3.6*1000000*landbouw!B17/100</f>
        <v>186.48005983378113</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1935.4337</v>
      </c>
      <c r="C8" s="21">
        <f>C5+C6</f>
        <v>0</v>
      </c>
      <c r="D8" s="21">
        <f>MAX((D5+D6),0)</f>
        <v>482.39449506748645</v>
      </c>
      <c r="E8" s="21">
        <f>MAX((E5+E6),0)</f>
        <v>41.502548793919402</v>
      </c>
      <c r="F8" s="21">
        <f>MAX((F5+F6),0)</f>
        <v>6277.9267441828924</v>
      </c>
      <c r="G8" s="21"/>
      <c r="H8" s="21"/>
      <c r="I8" s="21"/>
      <c r="J8" s="21">
        <f>MAX((J5+J6),0)</f>
        <v>186.48005983378113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0.20721364734850659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401.0482761782153</v>
      </c>
      <c r="C12" s="23">
        <f ca="1">C8*C10</f>
        <v>0</v>
      </c>
      <c r="D12" s="23">
        <f>D8*D10</f>
        <v>97.443688003632275</v>
      </c>
      <c r="E12" s="23">
        <f>E8*E10</f>
        <v>9.4210785762197045</v>
      </c>
      <c r="F12" s="23">
        <f>F8*F10</f>
        <v>1676.2064406968325</v>
      </c>
      <c r="G12" s="23"/>
      <c r="H12" s="23"/>
      <c r="I12" s="23"/>
      <c r="J12" s="23">
        <f>J8*J10</f>
        <v>66.013941181158515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0.27517763385213007</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364.22412525023304</v>
      </c>
      <c r="C26" s="242">
        <f>B26*'GWP N2O_CH4'!B5</f>
        <v>7648.7066302548938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73.252934957997596</v>
      </c>
      <c r="C27" s="242">
        <f>B27*'GWP N2O_CH4'!B5</f>
        <v>1538.3116341179496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6.0428873157447702</v>
      </c>
      <c r="C28" s="242">
        <f>B28*'GWP N2O_CH4'!B4</f>
        <v>1873.2950678808788</v>
      </c>
      <c r="D28" s="50"/>
    </row>
    <row r="29" spans="1:4">
      <c r="A29" s="41" t="s">
        <v>266</v>
      </c>
      <c r="B29" s="242">
        <f>B34*'ha_N2O bodem landbouw'!B4</f>
        <v>22.950802040692373</v>
      </c>
      <c r="C29" s="242">
        <f>B29*'GWP N2O_CH4'!B4</f>
        <v>7114.7486326146354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5.1474605663245918E-3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1.2349806679759498E-4</v>
      </c>
      <c r="C5" s="428" t="s">
        <v>204</v>
      </c>
      <c r="D5" s="413">
        <f>SUM(D6:D11)</f>
        <v>2.0231761318427141E-4</v>
      </c>
      <c r="E5" s="413">
        <f>SUM(E6:E11)</f>
        <v>1.9492091761218553E-3</v>
      </c>
      <c r="F5" s="426" t="s">
        <v>204</v>
      </c>
      <c r="G5" s="413">
        <f>SUM(G6:G11)</f>
        <v>0.53728200842527751</v>
      </c>
      <c r="H5" s="413">
        <f>SUM(H6:H11)</f>
        <v>0.12372301583546684</v>
      </c>
      <c r="I5" s="428" t="s">
        <v>204</v>
      </c>
      <c r="J5" s="428" t="s">
        <v>204</v>
      </c>
      <c r="K5" s="428" t="s">
        <v>204</v>
      </c>
      <c r="L5" s="428" t="s">
        <v>204</v>
      </c>
      <c r="M5" s="413">
        <f>SUM(M6:M11)</f>
        <v>3.4923987329962838E-2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9.6230519724686904E-5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1.4554161340182104E-4</v>
      </c>
      <c r="E6" s="819">
        <f>vkm_GW_PW*SUMIFS(TableVerdeelsleutelVkm[LPG],TableVerdeelsleutelVkm[Voertuigtype],"Lichte voertuigen")*SUMIFS(TableECFTransport[EnergieConsumptieFactor (PJ per km)],TableECFTransport[Index],CONCATENATE($A6,"_LPG_LPG"))</f>
        <v>1.4217653739665495E-3</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0.3301144988566368</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8.991693746555196E-2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2.1881823095770369E-2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2.045991999802791E-6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7.8525608089038468E-2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1.7595639463417381E-6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4.5527444496861287E-3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2.4927664120509278E-5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5.6775999782450355E-5</v>
      </c>
      <c r="E8" s="416">
        <f>vkm_NGW_PW*SUMIFS(TableVerdeelsleutelVkm[LPG],TableVerdeelsleutelVkm[Voertuigtype],"Lichte voertuigen")*SUMIFS(TableECFTransport[EnergieConsumptieFactor (PJ per km)],TableECFTransport[Index],CONCATENATE($A8,"_LPG_LPG"))</f>
        <v>5.2744380215530566E-4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0.11414971410424729</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3.3804013732959104E-2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7.6491947910348659E-3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2.9389095259603173E-7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1.4492187375354949E-2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3.0507300944376339E-7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8.4022499347146968E-4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34.305018554887496</v>
      </c>
      <c r="C14" s="21"/>
      <c r="D14" s="21">
        <f t="shared" ref="D14:M14" si="0">((D5)*10^9/3600)+D12</f>
        <v>56.199336995630944</v>
      </c>
      <c r="E14" s="21">
        <f t="shared" si="0"/>
        <v>541.44699336718202</v>
      </c>
      <c r="F14" s="21"/>
      <c r="G14" s="21">
        <f t="shared" si="0"/>
        <v>149245.00234035484</v>
      </c>
      <c r="H14" s="21">
        <f t="shared" si="0"/>
        <v>34367.504398740792</v>
      </c>
      <c r="I14" s="21"/>
      <c r="J14" s="21"/>
      <c r="K14" s="21"/>
      <c r="L14" s="21"/>
      <c r="M14" s="21">
        <f t="shared" si="0"/>
        <v>9701.1075916563423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0.20721364734850659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7.1084680171164329</v>
      </c>
      <c r="C18" s="23"/>
      <c r="D18" s="23">
        <f t="shared" ref="D18:M18" si="1">D14*D16</f>
        <v>11.352266073117452</v>
      </c>
      <c r="E18" s="23">
        <f t="shared" si="1"/>
        <v>122.90846749435032</v>
      </c>
      <c r="F18" s="23"/>
      <c r="G18" s="23">
        <f t="shared" si="1"/>
        <v>39848.415624874746</v>
      </c>
      <c r="H18" s="23">
        <f t="shared" si="1"/>
        <v>8557.5085952864574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4.8891708058910599E-5</v>
      </c>
      <c r="C50" s="311">
        <f t="shared" ref="C50:P50" si="2">SUM(C51:C52)</f>
        <v>0</v>
      </c>
      <c r="D50" s="311">
        <f t="shared" si="2"/>
        <v>0</v>
      </c>
      <c r="E50" s="311">
        <f t="shared" si="2"/>
        <v>0</v>
      </c>
      <c r="F50" s="311">
        <f t="shared" si="2"/>
        <v>0</v>
      </c>
      <c r="G50" s="311">
        <f t="shared" si="2"/>
        <v>9.2643337389617213E-3</v>
      </c>
      <c r="H50" s="311">
        <f t="shared" si="2"/>
        <v>0</v>
      </c>
      <c r="I50" s="311">
        <f t="shared" si="2"/>
        <v>0</v>
      </c>
      <c r="J50" s="311">
        <f t="shared" si="2"/>
        <v>0</v>
      </c>
      <c r="K50" s="311">
        <f t="shared" si="2"/>
        <v>0</v>
      </c>
      <c r="L50" s="311">
        <f t="shared" si="2"/>
        <v>0</v>
      </c>
      <c r="M50" s="311">
        <f t="shared" si="2"/>
        <v>5.3332949852745893E-4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4.8891708058910599E-5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9.2643337389617213E-3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5.3332949852745893E-4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13.581030016364055</v>
      </c>
      <c r="C54" s="21">
        <f t="shared" ref="C54:P54" si="3">(C50)*10^9/3600</f>
        <v>0</v>
      </c>
      <c r="D54" s="21">
        <f t="shared" si="3"/>
        <v>0</v>
      </c>
      <c r="E54" s="21">
        <f t="shared" si="3"/>
        <v>0</v>
      </c>
      <c r="F54" s="21">
        <f t="shared" si="3"/>
        <v>0</v>
      </c>
      <c r="G54" s="21">
        <f t="shared" si="3"/>
        <v>2573.426038600478</v>
      </c>
      <c r="H54" s="21">
        <f t="shared" si="3"/>
        <v>0</v>
      </c>
      <c r="I54" s="21">
        <f t="shared" si="3"/>
        <v>0</v>
      </c>
      <c r="J54" s="21">
        <f t="shared" si="3"/>
        <v>0</v>
      </c>
      <c r="K54" s="21">
        <f t="shared" si="3"/>
        <v>0</v>
      </c>
      <c r="L54" s="21">
        <f t="shared" si="3"/>
        <v>0</v>
      </c>
      <c r="M54" s="21">
        <f t="shared" si="3"/>
        <v>148.14708292429415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0.20721364734850659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2.8141747644403439</v>
      </c>
      <c r="C58" s="23">
        <f t="shared" ref="C58:P58" ca="1" si="4">C54*C56</f>
        <v>0</v>
      </c>
      <c r="D58" s="23">
        <f t="shared" si="4"/>
        <v>0</v>
      </c>
      <c r="E58" s="23">
        <f t="shared" si="4"/>
        <v>0</v>
      </c>
      <c r="F58" s="23">
        <f t="shared" si="4"/>
        <v>0</v>
      </c>
      <c r="G58" s="23">
        <f t="shared" si="4"/>
        <v>687.10475230632767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11843.799823402558</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11843.799823402558</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55325.461600000002</v>
      </c>
      <c r="D10" s="943">
        <f ca="1">tertiair!C16</f>
        <v>0</v>
      </c>
      <c r="E10" s="943">
        <f ca="1">tertiair!D16</f>
        <v>48060.727321472761</v>
      </c>
      <c r="F10" s="943">
        <f>tertiair!E16</f>
        <v>805.44276033497897</v>
      </c>
      <c r="G10" s="943">
        <f ca="1">tertiair!F16</f>
        <v>11692.199689804784</v>
      </c>
      <c r="H10" s="943">
        <f>tertiair!G16</f>
        <v>0</v>
      </c>
      <c r="I10" s="943">
        <f>tertiair!H16</f>
        <v>0</v>
      </c>
      <c r="J10" s="943">
        <f>tertiair!I16</f>
        <v>0</v>
      </c>
      <c r="K10" s="943">
        <f>tertiair!J16</f>
        <v>0</v>
      </c>
      <c r="L10" s="943">
        <f>tertiair!K16</f>
        <v>0</v>
      </c>
      <c r="M10" s="943">
        <f ca="1">tertiair!L16</f>
        <v>0</v>
      </c>
      <c r="N10" s="943">
        <f>tertiair!M16</f>
        <v>0</v>
      </c>
      <c r="O10" s="943">
        <f ca="1">tertiair!N16</f>
        <v>3400.0429043406129</v>
      </c>
      <c r="P10" s="943">
        <f>tertiair!O16</f>
        <v>9.3800000000000008</v>
      </c>
      <c r="Q10" s="944">
        <f>tertiair!P16</f>
        <v>38.133333333333333</v>
      </c>
      <c r="R10" s="629">
        <f ca="1">SUM(C10:Q10)</f>
        <v>119331.38760928647</v>
      </c>
      <c r="S10" s="67"/>
    </row>
    <row r="11" spans="1:19" s="438" customFormat="1">
      <c r="A11" s="737" t="s">
        <v>214</v>
      </c>
      <c r="B11" s="742"/>
      <c r="C11" s="943">
        <f>huishoudens!B8</f>
        <v>74950.265128042956</v>
      </c>
      <c r="D11" s="943">
        <f>huishoudens!C8</f>
        <v>0</v>
      </c>
      <c r="E11" s="943">
        <f>huishoudens!D8</f>
        <v>122800.74315265274</v>
      </c>
      <c r="F11" s="943">
        <f>huishoudens!E8</f>
        <v>4286.0008030394838</v>
      </c>
      <c r="G11" s="943">
        <f>huishoudens!F8</f>
        <v>135209.95384793708</v>
      </c>
      <c r="H11" s="943">
        <f>huishoudens!G8</f>
        <v>0</v>
      </c>
      <c r="I11" s="943">
        <f>huishoudens!H8</f>
        <v>0</v>
      </c>
      <c r="J11" s="943">
        <f>huishoudens!I8</f>
        <v>0</v>
      </c>
      <c r="K11" s="943">
        <f>huishoudens!J8</f>
        <v>3153.0910159868922</v>
      </c>
      <c r="L11" s="943">
        <f>huishoudens!K8</f>
        <v>0</v>
      </c>
      <c r="M11" s="943">
        <f>huishoudens!L8</f>
        <v>0</v>
      </c>
      <c r="N11" s="943">
        <f>huishoudens!M8</f>
        <v>0</v>
      </c>
      <c r="O11" s="943">
        <f>huishoudens!N8</f>
        <v>20631.063872486415</v>
      </c>
      <c r="P11" s="943">
        <f>huishoudens!O8</f>
        <v>508.08333333333337</v>
      </c>
      <c r="Q11" s="944">
        <f>huishoudens!P8</f>
        <v>2154.5333333333333</v>
      </c>
      <c r="R11" s="629">
        <f>SUM(C11:Q11)</f>
        <v>363693.7344868122</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55367.94200000001</v>
      </c>
      <c r="D13" s="943">
        <f>industrie!C18</f>
        <v>0</v>
      </c>
      <c r="E13" s="943">
        <f>industrie!D18</f>
        <v>34822.77058357378</v>
      </c>
      <c r="F13" s="943">
        <f>industrie!E18</f>
        <v>6278.5878120670077</v>
      </c>
      <c r="G13" s="943">
        <f>industrie!F18</f>
        <v>20454.543026312578</v>
      </c>
      <c r="H13" s="943">
        <f>industrie!G18</f>
        <v>0</v>
      </c>
      <c r="I13" s="943">
        <f>industrie!H18</f>
        <v>0</v>
      </c>
      <c r="J13" s="943">
        <f>industrie!I18</f>
        <v>0</v>
      </c>
      <c r="K13" s="943">
        <f>industrie!J18</f>
        <v>62.179320472918803</v>
      </c>
      <c r="L13" s="943">
        <f>industrie!K18</f>
        <v>0</v>
      </c>
      <c r="M13" s="943">
        <f>industrie!L18</f>
        <v>0</v>
      </c>
      <c r="N13" s="943">
        <f>industrie!M18</f>
        <v>0</v>
      </c>
      <c r="O13" s="943">
        <f>industrie!N18</f>
        <v>3055.7264150557335</v>
      </c>
      <c r="P13" s="943">
        <f>industrie!O18</f>
        <v>0</v>
      </c>
      <c r="Q13" s="944">
        <f>industrie!P18</f>
        <v>0</v>
      </c>
      <c r="R13" s="629">
        <f>SUM(C13:Q13)</f>
        <v>120041.74915748203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185643.66872804298</v>
      </c>
      <c r="D16" s="661">
        <f t="shared" ref="D16:R16" ca="1" si="0">SUM(D9:D15)</f>
        <v>0</v>
      </c>
      <c r="E16" s="661">
        <f t="shared" ca="1" si="0"/>
        <v>205684.24105769928</v>
      </c>
      <c r="F16" s="661">
        <f t="shared" si="0"/>
        <v>11370.031375441471</v>
      </c>
      <c r="G16" s="661">
        <f t="shared" ca="1" si="0"/>
        <v>167356.69656405444</v>
      </c>
      <c r="H16" s="661">
        <f t="shared" si="0"/>
        <v>0</v>
      </c>
      <c r="I16" s="661">
        <f t="shared" si="0"/>
        <v>0</v>
      </c>
      <c r="J16" s="661">
        <f t="shared" si="0"/>
        <v>0</v>
      </c>
      <c r="K16" s="661">
        <f t="shared" si="0"/>
        <v>3215.270336459811</v>
      </c>
      <c r="L16" s="661">
        <f t="shared" si="0"/>
        <v>0</v>
      </c>
      <c r="M16" s="661">
        <f t="shared" ca="1" si="0"/>
        <v>0</v>
      </c>
      <c r="N16" s="661">
        <f t="shared" si="0"/>
        <v>0</v>
      </c>
      <c r="O16" s="661">
        <f t="shared" ca="1" si="0"/>
        <v>27086.833191882764</v>
      </c>
      <c r="P16" s="661">
        <f t="shared" si="0"/>
        <v>517.46333333333337</v>
      </c>
      <c r="Q16" s="661">
        <f t="shared" si="0"/>
        <v>2192.6666666666665</v>
      </c>
      <c r="R16" s="661">
        <f t="shared" ca="1" si="0"/>
        <v>603066.87125358067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13.581030016364055</v>
      </c>
      <c r="D19" s="943">
        <f>transport!C54</f>
        <v>0</v>
      </c>
      <c r="E19" s="943">
        <f>transport!D54</f>
        <v>0</v>
      </c>
      <c r="F19" s="943">
        <f>transport!E54</f>
        <v>0</v>
      </c>
      <c r="G19" s="943">
        <f>transport!F54</f>
        <v>0</v>
      </c>
      <c r="H19" s="943">
        <f>transport!G54</f>
        <v>2573.426038600478</v>
      </c>
      <c r="I19" s="943">
        <f>transport!H54</f>
        <v>0</v>
      </c>
      <c r="J19" s="943">
        <f>transport!I54</f>
        <v>0</v>
      </c>
      <c r="K19" s="943">
        <f>transport!J54</f>
        <v>0</v>
      </c>
      <c r="L19" s="943">
        <f>transport!K54</f>
        <v>0</v>
      </c>
      <c r="M19" s="943">
        <f>transport!L54</f>
        <v>0</v>
      </c>
      <c r="N19" s="943">
        <f>transport!M54</f>
        <v>148.14708292429415</v>
      </c>
      <c r="O19" s="943">
        <f>transport!N54</f>
        <v>0</v>
      </c>
      <c r="P19" s="943">
        <f>transport!O54</f>
        <v>0</v>
      </c>
      <c r="Q19" s="944">
        <f>transport!P54</f>
        <v>0</v>
      </c>
      <c r="R19" s="629">
        <f>SUM(C19:Q19)</f>
        <v>2735.1541515411359</v>
      </c>
      <c r="S19" s="67"/>
    </row>
    <row r="20" spans="1:19" s="438" customFormat="1">
      <c r="A20" s="737" t="s">
        <v>296</v>
      </c>
      <c r="B20" s="742"/>
      <c r="C20" s="943">
        <f>transport!B14</f>
        <v>34.305018554887496</v>
      </c>
      <c r="D20" s="943">
        <f>transport!C14</f>
        <v>0</v>
      </c>
      <c r="E20" s="943">
        <f>transport!D14</f>
        <v>56.199336995630944</v>
      </c>
      <c r="F20" s="943">
        <f>transport!E14</f>
        <v>541.44699336718202</v>
      </c>
      <c r="G20" s="943">
        <f>transport!F14</f>
        <v>0</v>
      </c>
      <c r="H20" s="943">
        <f>transport!G14</f>
        <v>149245.00234035484</v>
      </c>
      <c r="I20" s="943">
        <f>transport!H14</f>
        <v>34367.504398740792</v>
      </c>
      <c r="J20" s="943">
        <f>transport!I14</f>
        <v>0</v>
      </c>
      <c r="K20" s="943">
        <f>transport!J14</f>
        <v>0</v>
      </c>
      <c r="L20" s="943">
        <f>transport!K14</f>
        <v>0</v>
      </c>
      <c r="M20" s="943">
        <f>transport!L14</f>
        <v>0</v>
      </c>
      <c r="N20" s="943">
        <f>transport!M14</f>
        <v>9701.1075916563423</v>
      </c>
      <c r="O20" s="943">
        <f>transport!N14</f>
        <v>0</v>
      </c>
      <c r="P20" s="943">
        <f>transport!O14</f>
        <v>0</v>
      </c>
      <c r="Q20" s="944">
        <f>transport!P14</f>
        <v>0</v>
      </c>
      <c r="R20" s="629">
        <f>SUM(C20:Q20)</f>
        <v>193945.56567966967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47.88604857125155</v>
      </c>
      <c r="D22" s="740">
        <f t="shared" ref="D22:R22" si="1">SUM(D18:D21)</f>
        <v>0</v>
      </c>
      <c r="E22" s="740">
        <f t="shared" si="1"/>
        <v>56.199336995630944</v>
      </c>
      <c r="F22" s="740">
        <f t="shared" si="1"/>
        <v>541.44699336718202</v>
      </c>
      <c r="G22" s="740">
        <f t="shared" si="1"/>
        <v>0</v>
      </c>
      <c r="H22" s="740">
        <f t="shared" si="1"/>
        <v>151818.42837895532</v>
      </c>
      <c r="I22" s="740">
        <f t="shared" si="1"/>
        <v>34367.504398740792</v>
      </c>
      <c r="J22" s="740">
        <f t="shared" si="1"/>
        <v>0</v>
      </c>
      <c r="K22" s="740">
        <f t="shared" si="1"/>
        <v>0</v>
      </c>
      <c r="L22" s="740">
        <f t="shared" si="1"/>
        <v>0</v>
      </c>
      <c r="M22" s="740">
        <f t="shared" si="1"/>
        <v>0</v>
      </c>
      <c r="N22" s="740">
        <f t="shared" si="1"/>
        <v>9849.2546745806358</v>
      </c>
      <c r="O22" s="740">
        <f t="shared" si="1"/>
        <v>0</v>
      </c>
      <c r="P22" s="740">
        <f t="shared" si="1"/>
        <v>0</v>
      </c>
      <c r="Q22" s="740">
        <f t="shared" si="1"/>
        <v>0</v>
      </c>
      <c r="R22" s="740">
        <f t="shared" si="1"/>
        <v>196680.71983121079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1935.4337</v>
      </c>
      <c r="D24" s="943">
        <f>+landbouw!C8</f>
        <v>0</v>
      </c>
      <c r="E24" s="943">
        <f>+landbouw!D8</f>
        <v>482.39449506748645</v>
      </c>
      <c r="F24" s="943">
        <f>+landbouw!E8</f>
        <v>41.502548793919402</v>
      </c>
      <c r="G24" s="943">
        <f>+landbouw!F8</f>
        <v>6277.9267441828924</v>
      </c>
      <c r="H24" s="943">
        <f>+landbouw!G8</f>
        <v>0</v>
      </c>
      <c r="I24" s="943">
        <f>+landbouw!H8</f>
        <v>0</v>
      </c>
      <c r="J24" s="943">
        <f>+landbouw!I8</f>
        <v>0</v>
      </c>
      <c r="K24" s="943">
        <f>+landbouw!J8</f>
        <v>186.48005983378113</v>
      </c>
      <c r="L24" s="943">
        <f>+landbouw!K8</f>
        <v>0</v>
      </c>
      <c r="M24" s="943">
        <f>+landbouw!L8</f>
        <v>0</v>
      </c>
      <c r="N24" s="943">
        <f>+landbouw!M8</f>
        <v>0</v>
      </c>
      <c r="O24" s="943">
        <f>+landbouw!N8</f>
        <v>0</v>
      </c>
      <c r="P24" s="943">
        <f>+landbouw!O8</f>
        <v>0</v>
      </c>
      <c r="Q24" s="944">
        <f>+landbouw!P8</f>
        <v>0</v>
      </c>
      <c r="R24" s="629">
        <f>SUM(C24:Q24)</f>
        <v>8923.7375478780796</v>
      </c>
      <c r="S24" s="67"/>
    </row>
    <row r="25" spans="1:19" s="438" customFormat="1" ht="15" thickBot="1">
      <c r="A25" s="759" t="s">
        <v>802</v>
      </c>
      <c r="B25" s="946"/>
      <c r="C25" s="947">
        <f>IF(Onbekend_ele_kWh="---",0,Onbekend_ele_kWh)/1000+IF(REST_rest_ele_kWh="---",0,REST_rest_ele_kWh)/1000</f>
        <v>2233.2179999999998</v>
      </c>
      <c r="D25" s="947"/>
      <c r="E25" s="947">
        <f>IF(onbekend_gas_kWh="---",0,onbekend_gas_kWh)/1000+IF(REST_rest_gas_kWh="---",0,REST_rest_gas_kWh)/1000</f>
        <v>5411.22121856781</v>
      </c>
      <c r="F25" s="947"/>
      <c r="G25" s="947"/>
      <c r="H25" s="947"/>
      <c r="I25" s="947"/>
      <c r="J25" s="947"/>
      <c r="K25" s="947"/>
      <c r="L25" s="947"/>
      <c r="M25" s="947"/>
      <c r="N25" s="947"/>
      <c r="O25" s="947"/>
      <c r="P25" s="947"/>
      <c r="Q25" s="948"/>
      <c r="R25" s="629">
        <f>SUM(C25:Q25)</f>
        <v>7644.4392185678098</v>
      </c>
      <c r="S25" s="67"/>
    </row>
    <row r="26" spans="1:19" s="438" customFormat="1" ht="15.75" thickBot="1">
      <c r="A26" s="634" t="s">
        <v>803</v>
      </c>
      <c r="B26" s="745"/>
      <c r="C26" s="740">
        <f>SUM(C24:C25)</f>
        <v>4168.6517000000003</v>
      </c>
      <c r="D26" s="740">
        <f t="shared" ref="D26:R26" si="2">SUM(D24:D25)</f>
        <v>0</v>
      </c>
      <c r="E26" s="740">
        <f t="shared" si="2"/>
        <v>5893.6157136352967</v>
      </c>
      <c r="F26" s="740">
        <f t="shared" si="2"/>
        <v>41.502548793919402</v>
      </c>
      <c r="G26" s="740">
        <f t="shared" si="2"/>
        <v>6277.9267441828924</v>
      </c>
      <c r="H26" s="740">
        <f t="shared" si="2"/>
        <v>0</v>
      </c>
      <c r="I26" s="740">
        <f t="shared" si="2"/>
        <v>0</v>
      </c>
      <c r="J26" s="740">
        <f t="shared" si="2"/>
        <v>0</v>
      </c>
      <c r="K26" s="740">
        <f t="shared" si="2"/>
        <v>186.48005983378113</v>
      </c>
      <c r="L26" s="740">
        <f t="shared" si="2"/>
        <v>0</v>
      </c>
      <c r="M26" s="740">
        <f t="shared" si="2"/>
        <v>0</v>
      </c>
      <c r="N26" s="740">
        <f t="shared" si="2"/>
        <v>0</v>
      </c>
      <c r="O26" s="740">
        <f t="shared" si="2"/>
        <v>0</v>
      </c>
      <c r="P26" s="740">
        <f t="shared" si="2"/>
        <v>0</v>
      </c>
      <c r="Q26" s="740">
        <f t="shared" si="2"/>
        <v>0</v>
      </c>
      <c r="R26" s="740">
        <f t="shared" si="2"/>
        <v>16568.176766445889</v>
      </c>
      <c r="S26" s="67"/>
    </row>
    <row r="27" spans="1:19" s="438" customFormat="1" ht="17.25" thickTop="1" thickBot="1">
      <c r="A27" s="635" t="s">
        <v>109</v>
      </c>
      <c r="B27" s="733"/>
      <c r="C27" s="636">
        <f ca="1">C22+C16+C26</f>
        <v>189860.20647661423</v>
      </c>
      <c r="D27" s="636">
        <f t="shared" ref="D27:R27" ca="1" si="3">D22+D16+D26</f>
        <v>0</v>
      </c>
      <c r="E27" s="636">
        <f t="shared" ca="1" si="3"/>
        <v>211634.0561083302</v>
      </c>
      <c r="F27" s="636">
        <f t="shared" si="3"/>
        <v>11952.980917602574</v>
      </c>
      <c r="G27" s="636">
        <f t="shared" ca="1" si="3"/>
        <v>173634.62330823732</v>
      </c>
      <c r="H27" s="636">
        <f t="shared" si="3"/>
        <v>151818.42837895532</v>
      </c>
      <c r="I27" s="636">
        <f t="shared" si="3"/>
        <v>34367.504398740792</v>
      </c>
      <c r="J27" s="636">
        <f t="shared" si="3"/>
        <v>0</v>
      </c>
      <c r="K27" s="636">
        <f t="shared" si="3"/>
        <v>3401.7503962935921</v>
      </c>
      <c r="L27" s="636">
        <f t="shared" si="3"/>
        <v>0</v>
      </c>
      <c r="M27" s="636">
        <f t="shared" ca="1" si="3"/>
        <v>0</v>
      </c>
      <c r="N27" s="636">
        <f t="shared" si="3"/>
        <v>9849.2546745806358</v>
      </c>
      <c r="O27" s="636">
        <f t="shared" ca="1" si="3"/>
        <v>27086.833191882764</v>
      </c>
      <c r="P27" s="636">
        <f t="shared" si="3"/>
        <v>517.46333333333337</v>
      </c>
      <c r="Q27" s="636">
        <f t="shared" si="3"/>
        <v>2192.6666666666665</v>
      </c>
      <c r="R27" s="636">
        <f t="shared" ca="1" si="3"/>
        <v>816315.76785123732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11464.190689375744</v>
      </c>
      <c r="D40" s="943">
        <f ca="1">tertiair!C20</f>
        <v>0</v>
      </c>
      <c r="E40" s="943">
        <f ca="1">tertiair!D20</f>
        <v>9708.2669189374992</v>
      </c>
      <c r="F40" s="943">
        <f>tertiair!E20</f>
        <v>182.83550659604023</v>
      </c>
      <c r="G40" s="943">
        <f ca="1">tertiair!F20</f>
        <v>3121.8173171778776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24477.110432087156</v>
      </c>
    </row>
    <row r="41" spans="1:18">
      <c r="A41" s="750" t="s">
        <v>214</v>
      </c>
      <c r="B41" s="757"/>
      <c r="C41" s="943">
        <f ca="1">huishoudens!B12</f>
        <v>15530.717806919363</v>
      </c>
      <c r="D41" s="943">
        <f ca="1">huishoudens!C12</f>
        <v>0</v>
      </c>
      <c r="E41" s="943">
        <f>huishoudens!D12</f>
        <v>24805.750116835854</v>
      </c>
      <c r="F41" s="943">
        <f>huishoudens!E12</f>
        <v>972.92218228996285</v>
      </c>
      <c r="G41" s="943">
        <f>huishoudens!F12</f>
        <v>36101.0576773992</v>
      </c>
      <c r="H41" s="943">
        <f>huishoudens!G12</f>
        <v>0</v>
      </c>
      <c r="I41" s="943">
        <f>huishoudens!H12</f>
        <v>0</v>
      </c>
      <c r="J41" s="943">
        <f>huishoudens!I12</f>
        <v>0</v>
      </c>
      <c r="K41" s="943">
        <f>huishoudens!J12</f>
        <v>1116.1942196593598</v>
      </c>
      <c r="L41" s="943">
        <f>huishoudens!K12</f>
        <v>0</v>
      </c>
      <c r="M41" s="943">
        <f>huishoudens!L12</f>
        <v>0</v>
      </c>
      <c r="N41" s="943">
        <f>huishoudens!M12</f>
        <v>0</v>
      </c>
      <c r="O41" s="943">
        <f>huishoudens!N12</f>
        <v>0</v>
      </c>
      <c r="P41" s="943">
        <f>huishoudens!O12</f>
        <v>0</v>
      </c>
      <c r="Q41" s="703">
        <f>huishoudens!P12</f>
        <v>0</v>
      </c>
      <c r="R41" s="778">
        <f t="shared" ca="1" si="4"/>
        <v>78526.642003103741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11472.993208000569</v>
      </c>
      <c r="D43" s="943">
        <f ca="1">industrie!C22</f>
        <v>0</v>
      </c>
      <c r="E43" s="943">
        <f>industrie!D22</f>
        <v>7034.1996578819044</v>
      </c>
      <c r="F43" s="943">
        <f>industrie!E22</f>
        <v>1425.2394333392108</v>
      </c>
      <c r="G43" s="943">
        <f>industrie!F22</f>
        <v>5461.3629880254584</v>
      </c>
      <c r="H43" s="943">
        <f>industrie!G22</f>
        <v>0</v>
      </c>
      <c r="I43" s="943">
        <f>industrie!H22</f>
        <v>0</v>
      </c>
      <c r="J43" s="943">
        <f>industrie!I22</f>
        <v>0</v>
      </c>
      <c r="K43" s="943">
        <f>industrie!J22</f>
        <v>22.011479447413254</v>
      </c>
      <c r="L43" s="943">
        <f>industrie!K22</f>
        <v>0</v>
      </c>
      <c r="M43" s="943">
        <f>industrie!L22</f>
        <v>0</v>
      </c>
      <c r="N43" s="943">
        <f>industrie!M22</f>
        <v>0</v>
      </c>
      <c r="O43" s="943">
        <f>industrie!N22</f>
        <v>0</v>
      </c>
      <c r="P43" s="943">
        <f>industrie!O22</f>
        <v>0</v>
      </c>
      <c r="Q43" s="703">
        <f>industrie!P22</f>
        <v>0</v>
      </c>
      <c r="R43" s="777">
        <f t="shared" ca="1" si="4"/>
        <v>25415.806766694557</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38467.901704295677</v>
      </c>
      <c r="D46" s="661">
        <f t="shared" ref="D46:Q46" ca="1" si="5">SUM(D39:D45)</f>
        <v>0</v>
      </c>
      <c r="E46" s="661">
        <f t="shared" ca="1" si="5"/>
        <v>41548.216693655253</v>
      </c>
      <c r="F46" s="661">
        <f t="shared" si="5"/>
        <v>2580.9971222252138</v>
      </c>
      <c r="G46" s="661">
        <f t="shared" ca="1" si="5"/>
        <v>44684.237982602535</v>
      </c>
      <c r="H46" s="661">
        <f t="shared" si="5"/>
        <v>0</v>
      </c>
      <c r="I46" s="661">
        <f t="shared" si="5"/>
        <v>0</v>
      </c>
      <c r="J46" s="661">
        <f t="shared" si="5"/>
        <v>0</v>
      </c>
      <c r="K46" s="661">
        <f t="shared" si="5"/>
        <v>1138.205699106773</v>
      </c>
      <c r="L46" s="661">
        <f t="shared" si="5"/>
        <v>0</v>
      </c>
      <c r="M46" s="661">
        <f t="shared" ca="1" si="5"/>
        <v>0</v>
      </c>
      <c r="N46" s="661">
        <f t="shared" si="5"/>
        <v>0</v>
      </c>
      <c r="O46" s="661">
        <f t="shared" ca="1" si="5"/>
        <v>0</v>
      </c>
      <c r="P46" s="661">
        <f t="shared" si="5"/>
        <v>0</v>
      </c>
      <c r="Q46" s="661">
        <f t="shared" si="5"/>
        <v>0</v>
      </c>
      <c r="R46" s="661">
        <f ca="1">SUM(R39:R45)</f>
        <v>128419.55920188545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2.8141747644403439</v>
      </c>
      <c r="D49" s="943">
        <f ca="1">transport!C58</f>
        <v>0</v>
      </c>
      <c r="E49" s="943">
        <f>transport!D58</f>
        <v>0</v>
      </c>
      <c r="F49" s="943">
        <f>transport!E58</f>
        <v>0</v>
      </c>
      <c r="G49" s="943">
        <f>transport!F58</f>
        <v>0</v>
      </c>
      <c r="H49" s="943">
        <f>transport!G58</f>
        <v>687.10475230632767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689.91892707076806</v>
      </c>
    </row>
    <row r="50" spans="1:18">
      <c r="A50" s="753" t="s">
        <v>296</v>
      </c>
      <c r="B50" s="763"/>
      <c r="C50" s="632">
        <f ca="1">transport!B18</f>
        <v>7.1084680171164329</v>
      </c>
      <c r="D50" s="632">
        <f>transport!C18</f>
        <v>0</v>
      </c>
      <c r="E50" s="632">
        <f>transport!D18</f>
        <v>11.352266073117452</v>
      </c>
      <c r="F50" s="632">
        <f>transport!E18</f>
        <v>122.90846749435032</v>
      </c>
      <c r="G50" s="632">
        <f>transport!F18</f>
        <v>0</v>
      </c>
      <c r="H50" s="632">
        <f>transport!G18</f>
        <v>39848.415624874746</v>
      </c>
      <c r="I50" s="632">
        <f>transport!H18</f>
        <v>8557.5085952864574</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48547.293421745781</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9.9226427815567764</v>
      </c>
      <c r="D52" s="661">
        <f t="shared" ref="D52:Q52" ca="1" si="6">SUM(D48:D51)</f>
        <v>0</v>
      </c>
      <c r="E52" s="661">
        <f t="shared" si="6"/>
        <v>11.352266073117452</v>
      </c>
      <c r="F52" s="661">
        <f t="shared" si="6"/>
        <v>122.90846749435032</v>
      </c>
      <c r="G52" s="661">
        <f t="shared" si="6"/>
        <v>0</v>
      </c>
      <c r="H52" s="661">
        <f t="shared" si="6"/>
        <v>40535.52037718107</v>
      </c>
      <c r="I52" s="661">
        <f t="shared" si="6"/>
        <v>8557.5085952864574</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49237.212348816545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401.0482761782153</v>
      </c>
      <c r="D54" s="632">
        <f ca="1">+landbouw!C12</f>
        <v>0</v>
      </c>
      <c r="E54" s="632">
        <f>+landbouw!D12</f>
        <v>97.443688003632275</v>
      </c>
      <c r="F54" s="632">
        <f>+landbouw!E12</f>
        <v>9.4210785762197045</v>
      </c>
      <c r="G54" s="632">
        <f>+landbouw!F12</f>
        <v>1676.2064406968325</v>
      </c>
      <c r="H54" s="632">
        <f>+landbouw!G12</f>
        <v>0</v>
      </c>
      <c r="I54" s="632">
        <f>+landbouw!H12</f>
        <v>0</v>
      </c>
      <c r="J54" s="632">
        <f>+landbouw!I12</f>
        <v>0</v>
      </c>
      <c r="K54" s="632">
        <f>+landbouw!J12</f>
        <v>66.013941181158515</v>
      </c>
      <c r="L54" s="632">
        <f>+landbouw!K12</f>
        <v>0</v>
      </c>
      <c r="M54" s="632">
        <f>+landbouw!L12</f>
        <v>0</v>
      </c>
      <c r="N54" s="632">
        <f>+landbouw!M12</f>
        <v>0</v>
      </c>
      <c r="O54" s="632">
        <f>+landbouw!N12</f>
        <v>0</v>
      </c>
      <c r="P54" s="632">
        <f>+landbouw!O12</f>
        <v>0</v>
      </c>
      <c r="Q54" s="633">
        <f>+landbouw!P12</f>
        <v>0</v>
      </c>
      <c r="R54" s="660">
        <f ca="1">SUM(C54:Q54)</f>
        <v>2250.133424636058</v>
      </c>
    </row>
    <row r="55" spans="1:18" ht="15" thickBot="1">
      <c r="A55" s="753" t="s">
        <v>802</v>
      </c>
      <c r="B55" s="763"/>
      <c r="C55" s="632">
        <f ca="1">C25*'EF ele_warmte'!B12</f>
        <v>462.75324710433716</v>
      </c>
      <c r="D55" s="632"/>
      <c r="E55" s="632">
        <f>E25*EF_CO2_aardgas</f>
        <v>1093.0666861506977</v>
      </c>
      <c r="F55" s="632"/>
      <c r="G55" s="632"/>
      <c r="H55" s="632"/>
      <c r="I55" s="632"/>
      <c r="J55" s="632"/>
      <c r="K55" s="632"/>
      <c r="L55" s="632"/>
      <c r="M55" s="632"/>
      <c r="N55" s="632"/>
      <c r="O55" s="632"/>
      <c r="P55" s="632"/>
      <c r="Q55" s="633"/>
      <c r="R55" s="660">
        <f ca="1">SUM(C55:Q55)</f>
        <v>1555.8199332550348</v>
      </c>
    </row>
    <row r="56" spans="1:18" ht="15.75" thickBot="1">
      <c r="A56" s="751" t="s">
        <v>803</v>
      </c>
      <c r="B56" s="764"/>
      <c r="C56" s="661">
        <f ca="1">SUM(C54:C55)</f>
        <v>863.80152328255247</v>
      </c>
      <c r="D56" s="661">
        <f t="shared" ref="D56:Q56" ca="1" si="7">SUM(D54:D55)</f>
        <v>0</v>
      </c>
      <c r="E56" s="661">
        <f t="shared" si="7"/>
        <v>1190.5103741543301</v>
      </c>
      <c r="F56" s="661">
        <f t="shared" si="7"/>
        <v>9.4210785762197045</v>
      </c>
      <c r="G56" s="661">
        <f t="shared" si="7"/>
        <v>1676.2064406968325</v>
      </c>
      <c r="H56" s="661">
        <f t="shared" si="7"/>
        <v>0</v>
      </c>
      <c r="I56" s="661">
        <f t="shared" si="7"/>
        <v>0</v>
      </c>
      <c r="J56" s="661">
        <f t="shared" si="7"/>
        <v>0</v>
      </c>
      <c r="K56" s="661">
        <f t="shared" si="7"/>
        <v>66.013941181158515</v>
      </c>
      <c r="L56" s="661">
        <f t="shared" si="7"/>
        <v>0</v>
      </c>
      <c r="M56" s="661">
        <f t="shared" si="7"/>
        <v>0</v>
      </c>
      <c r="N56" s="661">
        <f t="shared" si="7"/>
        <v>0</v>
      </c>
      <c r="O56" s="661">
        <f t="shared" si="7"/>
        <v>0</v>
      </c>
      <c r="P56" s="661">
        <f t="shared" si="7"/>
        <v>0</v>
      </c>
      <c r="Q56" s="662">
        <f t="shared" si="7"/>
        <v>0</v>
      </c>
      <c r="R56" s="663">
        <f ca="1">SUM(R54:R55)</f>
        <v>3805.9533578910928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39341.625870359785</v>
      </c>
      <c r="D61" s="669">
        <f t="shared" ref="D61:Q61" ca="1" si="8">D46+D52+D56</f>
        <v>0</v>
      </c>
      <c r="E61" s="669">
        <f t="shared" ca="1" si="8"/>
        <v>42750.079333882699</v>
      </c>
      <c r="F61" s="669">
        <f t="shared" si="8"/>
        <v>2713.3266682957837</v>
      </c>
      <c r="G61" s="669">
        <f t="shared" ca="1" si="8"/>
        <v>46360.44442329937</v>
      </c>
      <c r="H61" s="669">
        <f t="shared" si="8"/>
        <v>40535.52037718107</v>
      </c>
      <c r="I61" s="669">
        <f t="shared" si="8"/>
        <v>8557.5085952864574</v>
      </c>
      <c r="J61" s="669">
        <f t="shared" si="8"/>
        <v>0</v>
      </c>
      <c r="K61" s="669">
        <f t="shared" si="8"/>
        <v>1204.2196402879315</v>
      </c>
      <c r="L61" s="669">
        <f t="shared" si="8"/>
        <v>0</v>
      </c>
      <c r="M61" s="669">
        <f t="shared" ca="1" si="8"/>
        <v>0</v>
      </c>
      <c r="N61" s="669">
        <f t="shared" si="8"/>
        <v>0</v>
      </c>
      <c r="O61" s="669">
        <f t="shared" ca="1" si="8"/>
        <v>0</v>
      </c>
      <c r="P61" s="669">
        <f t="shared" si="8"/>
        <v>0</v>
      </c>
      <c r="Q61" s="669">
        <f t="shared" si="8"/>
        <v>0</v>
      </c>
      <c r="R61" s="669">
        <f ca="1">R46+R52+R56</f>
        <v>181462.72490859308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0.20721364734850659</v>
      </c>
      <c r="D63" s="710">
        <f t="shared" ca="1" si="9"/>
        <v>0</v>
      </c>
      <c r="E63" s="954">
        <f t="shared" ca="1" si="9"/>
        <v>0.20199999999999999</v>
      </c>
      <c r="F63" s="710">
        <f t="shared" si="9"/>
        <v>0.22699999999999995</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11843.799823402558</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11843.799823402558</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74950.265128042956</v>
      </c>
      <c r="C4" s="442">
        <f>huishoudens!C8</f>
        <v>0</v>
      </c>
      <c r="D4" s="442">
        <f>huishoudens!D8</f>
        <v>122800.74315265274</v>
      </c>
      <c r="E4" s="442">
        <f>huishoudens!E8</f>
        <v>4286.0008030394838</v>
      </c>
      <c r="F4" s="442">
        <f>huishoudens!F8</f>
        <v>135209.95384793708</v>
      </c>
      <c r="G4" s="442">
        <f>huishoudens!G8</f>
        <v>0</v>
      </c>
      <c r="H4" s="442">
        <f>huishoudens!H8</f>
        <v>0</v>
      </c>
      <c r="I4" s="442">
        <f>huishoudens!I8</f>
        <v>0</v>
      </c>
      <c r="J4" s="442">
        <f>huishoudens!J8</f>
        <v>3153.0910159868922</v>
      </c>
      <c r="K4" s="442">
        <f>huishoudens!K8</f>
        <v>0</v>
      </c>
      <c r="L4" s="442">
        <f>huishoudens!L8</f>
        <v>0</v>
      </c>
      <c r="M4" s="442">
        <f>huishoudens!M8</f>
        <v>0</v>
      </c>
      <c r="N4" s="442">
        <f>huishoudens!N8</f>
        <v>20631.063872486415</v>
      </c>
      <c r="O4" s="442">
        <f>huishoudens!O8</f>
        <v>508.08333333333337</v>
      </c>
      <c r="P4" s="443">
        <f>huishoudens!P8</f>
        <v>2154.5333333333333</v>
      </c>
      <c r="Q4" s="444">
        <f>SUM(B4:P4)</f>
        <v>363693.7344868122</v>
      </c>
    </row>
    <row r="5" spans="1:17">
      <c r="A5" s="441" t="s">
        <v>149</v>
      </c>
      <c r="B5" s="442">
        <f ca="1">tertiair!B16</f>
        <v>52577.224600000001</v>
      </c>
      <c r="C5" s="442">
        <f ca="1">tertiair!C16</f>
        <v>0</v>
      </c>
      <c r="D5" s="442">
        <f ca="1">tertiair!D16</f>
        <v>48060.727321472761</v>
      </c>
      <c r="E5" s="442">
        <f>tertiair!E16</f>
        <v>805.44276033497897</v>
      </c>
      <c r="F5" s="442">
        <f ca="1">tertiair!F16</f>
        <v>11692.199689804784</v>
      </c>
      <c r="G5" s="442">
        <f>tertiair!G16</f>
        <v>0</v>
      </c>
      <c r="H5" s="442">
        <f>tertiair!H16</f>
        <v>0</v>
      </c>
      <c r="I5" s="442">
        <f>tertiair!I16</f>
        <v>0</v>
      </c>
      <c r="J5" s="442">
        <f>tertiair!J16</f>
        <v>0</v>
      </c>
      <c r="K5" s="442">
        <f>tertiair!K16</f>
        <v>0</v>
      </c>
      <c r="L5" s="442">
        <f ca="1">tertiair!L16</f>
        <v>0</v>
      </c>
      <c r="M5" s="442">
        <f>tertiair!M16</f>
        <v>0</v>
      </c>
      <c r="N5" s="442">
        <f ca="1">tertiair!N16</f>
        <v>3400.0429043406129</v>
      </c>
      <c r="O5" s="442">
        <f>tertiair!O16</f>
        <v>9.3800000000000008</v>
      </c>
      <c r="P5" s="443">
        <f>tertiair!P16</f>
        <v>38.133333333333333</v>
      </c>
      <c r="Q5" s="441">
        <f t="shared" ref="Q5:Q14" ca="1" si="0">SUM(B5:P5)</f>
        <v>116583.15060928647</v>
      </c>
    </row>
    <row r="6" spans="1:17">
      <c r="A6" s="441" t="s">
        <v>187</v>
      </c>
      <c r="B6" s="442">
        <f>'openbare verlichting'!B8</f>
        <v>2748.2370000000001</v>
      </c>
      <c r="C6" s="442"/>
      <c r="D6" s="442"/>
      <c r="E6" s="442"/>
      <c r="F6" s="442"/>
      <c r="G6" s="442"/>
      <c r="H6" s="442"/>
      <c r="I6" s="442"/>
      <c r="J6" s="442"/>
      <c r="K6" s="442"/>
      <c r="L6" s="442"/>
      <c r="M6" s="442"/>
      <c r="N6" s="442"/>
      <c r="O6" s="442"/>
      <c r="P6" s="443"/>
      <c r="Q6" s="441">
        <f t="shared" si="0"/>
        <v>2748.2370000000001</v>
      </c>
    </row>
    <row r="7" spans="1:17">
      <c r="A7" s="441" t="s">
        <v>105</v>
      </c>
      <c r="B7" s="442">
        <f>landbouw!B8</f>
        <v>1935.4337</v>
      </c>
      <c r="C7" s="442">
        <f>landbouw!C8</f>
        <v>0</v>
      </c>
      <c r="D7" s="442">
        <f>landbouw!D8</f>
        <v>482.39449506748645</v>
      </c>
      <c r="E7" s="442">
        <f>landbouw!E8</f>
        <v>41.502548793919402</v>
      </c>
      <c r="F7" s="442">
        <f>landbouw!F8</f>
        <v>6277.9267441828924</v>
      </c>
      <c r="G7" s="442">
        <f>landbouw!G8</f>
        <v>0</v>
      </c>
      <c r="H7" s="442">
        <f>landbouw!H8</f>
        <v>0</v>
      </c>
      <c r="I7" s="442">
        <f>landbouw!I8</f>
        <v>0</v>
      </c>
      <c r="J7" s="442">
        <f>landbouw!J8</f>
        <v>186.48005983378113</v>
      </c>
      <c r="K7" s="442">
        <f>landbouw!K8</f>
        <v>0</v>
      </c>
      <c r="L7" s="442">
        <f>landbouw!L8</f>
        <v>0</v>
      </c>
      <c r="M7" s="442">
        <f>landbouw!M8</f>
        <v>0</v>
      </c>
      <c r="N7" s="442">
        <f>landbouw!N8</f>
        <v>0</v>
      </c>
      <c r="O7" s="442">
        <f>landbouw!O8</f>
        <v>0</v>
      </c>
      <c r="P7" s="443">
        <f>landbouw!P8</f>
        <v>0</v>
      </c>
      <c r="Q7" s="441">
        <f t="shared" si="0"/>
        <v>8923.7375478780796</v>
      </c>
    </row>
    <row r="8" spans="1:17">
      <c r="A8" s="441" t="s">
        <v>612</v>
      </c>
      <c r="B8" s="442">
        <f>industrie!B18</f>
        <v>55367.94200000001</v>
      </c>
      <c r="C8" s="442">
        <f>industrie!C18</f>
        <v>0</v>
      </c>
      <c r="D8" s="442">
        <f>industrie!D18</f>
        <v>34822.77058357378</v>
      </c>
      <c r="E8" s="442">
        <f>industrie!E18</f>
        <v>6278.5878120670077</v>
      </c>
      <c r="F8" s="442">
        <f>industrie!F18</f>
        <v>20454.543026312578</v>
      </c>
      <c r="G8" s="442">
        <f>industrie!G18</f>
        <v>0</v>
      </c>
      <c r="H8" s="442">
        <f>industrie!H18</f>
        <v>0</v>
      </c>
      <c r="I8" s="442">
        <f>industrie!I18</f>
        <v>0</v>
      </c>
      <c r="J8" s="442">
        <f>industrie!J18</f>
        <v>62.179320472918803</v>
      </c>
      <c r="K8" s="442">
        <f>industrie!K18</f>
        <v>0</v>
      </c>
      <c r="L8" s="442">
        <f>industrie!L18</f>
        <v>0</v>
      </c>
      <c r="M8" s="442">
        <f>industrie!M18</f>
        <v>0</v>
      </c>
      <c r="N8" s="442">
        <f>industrie!N18</f>
        <v>3055.7264150557335</v>
      </c>
      <c r="O8" s="442">
        <f>industrie!O18</f>
        <v>0</v>
      </c>
      <c r="P8" s="443">
        <f>industrie!P18</f>
        <v>0</v>
      </c>
      <c r="Q8" s="441">
        <f t="shared" si="0"/>
        <v>120041.74915748203</v>
      </c>
    </row>
    <row r="9" spans="1:17" s="447" customFormat="1">
      <c r="A9" s="445" t="s">
        <v>556</v>
      </c>
      <c r="B9" s="446">
        <f>transport!B14</f>
        <v>34.305018554887496</v>
      </c>
      <c r="C9" s="446">
        <f>transport!C14</f>
        <v>0</v>
      </c>
      <c r="D9" s="446">
        <f>transport!D14</f>
        <v>56.199336995630944</v>
      </c>
      <c r="E9" s="446">
        <f>transport!E14</f>
        <v>541.44699336718202</v>
      </c>
      <c r="F9" s="446">
        <f>transport!F14</f>
        <v>0</v>
      </c>
      <c r="G9" s="446">
        <f>transport!G14</f>
        <v>149245.00234035484</v>
      </c>
      <c r="H9" s="446">
        <f>transport!H14</f>
        <v>34367.504398740792</v>
      </c>
      <c r="I9" s="446">
        <f>transport!I14</f>
        <v>0</v>
      </c>
      <c r="J9" s="446">
        <f>transport!J14</f>
        <v>0</v>
      </c>
      <c r="K9" s="446">
        <f>transport!K14</f>
        <v>0</v>
      </c>
      <c r="L9" s="446">
        <f>transport!L14</f>
        <v>0</v>
      </c>
      <c r="M9" s="446">
        <f>transport!M14</f>
        <v>9701.1075916563423</v>
      </c>
      <c r="N9" s="446">
        <f>transport!N14</f>
        <v>0</v>
      </c>
      <c r="O9" s="446">
        <f>transport!O14</f>
        <v>0</v>
      </c>
      <c r="P9" s="446">
        <f>transport!P14</f>
        <v>0</v>
      </c>
      <c r="Q9" s="445">
        <f>SUM(B9:P9)</f>
        <v>193945.56567966967</v>
      </c>
    </row>
    <row r="10" spans="1:17">
      <c r="A10" s="441" t="s">
        <v>546</v>
      </c>
      <c r="B10" s="442">
        <f>transport!B54</f>
        <v>13.581030016364055</v>
      </c>
      <c r="C10" s="442">
        <f>transport!C54</f>
        <v>0</v>
      </c>
      <c r="D10" s="442">
        <f>transport!D54</f>
        <v>0</v>
      </c>
      <c r="E10" s="442">
        <f>transport!E54</f>
        <v>0</v>
      </c>
      <c r="F10" s="442">
        <f>transport!F54</f>
        <v>0</v>
      </c>
      <c r="G10" s="442">
        <f>transport!G54</f>
        <v>2573.426038600478</v>
      </c>
      <c r="H10" s="442">
        <f>transport!H54</f>
        <v>0</v>
      </c>
      <c r="I10" s="442">
        <f>transport!I54</f>
        <v>0</v>
      </c>
      <c r="J10" s="442">
        <f>transport!J54</f>
        <v>0</v>
      </c>
      <c r="K10" s="442">
        <f>transport!K54</f>
        <v>0</v>
      </c>
      <c r="L10" s="442">
        <f>transport!L54</f>
        <v>0</v>
      </c>
      <c r="M10" s="442">
        <f>transport!M54</f>
        <v>148.14708292429415</v>
      </c>
      <c r="N10" s="442">
        <f>transport!N54</f>
        <v>0</v>
      </c>
      <c r="O10" s="442">
        <f>transport!O54</f>
        <v>0</v>
      </c>
      <c r="P10" s="443">
        <f>transport!P54</f>
        <v>0</v>
      </c>
      <c r="Q10" s="441">
        <f t="shared" si="0"/>
        <v>2735.1541515411359</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2233.2179999999998</v>
      </c>
      <c r="C14" s="449"/>
      <c r="D14" s="449">
        <f>'SEAP template'!E25</f>
        <v>5411.22121856781</v>
      </c>
      <c r="E14" s="449"/>
      <c r="F14" s="449"/>
      <c r="G14" s="449"/>
      <c r="H14" s="449"/>
      <c r="I14" s="449"/>
      <c r="J14" s="449"/>
      <c r="K14" s="449"/>
      <c r="L14" s="449"/>
      <c r="M14" s="449"/>
      <c r="N14" s="449"/>
      <c r="O14" s="449"/>
      <c r="P14" s="450"/>
      <c r="Q14" s="441">
        <f t="shared" si="0"/>
        <v>7644.4392185678098</v>
      </c>
    </row>
    <row r="15" spans="1:17" s="451" customFormat="1">
      <c r="A15" s="969" t="s">
        <v>550</v>
      </c>
      <c r="B15" s="909">
        <f ca="1">SUM(B4:B14)</f>
        <v>189860.2064766142</v>
      </c>
      <c r="C15" s="909">
        <f t="shared" ref="C15:Q15" ca="1" si="1">SUM(C4:C14)</f>
        <v>0</v>
      </c>
      <c r="D15" s="909">
        <f t="shared" ca="1" si="1"/>
        <v>211634.0561083302</v>
      </c>
      <c r="E15" s="909">
        <f t="shared" si="1"/>
        <v>11952.980917602572</v>
      </c>
      <c r="F15" s="909">
        <f t="shared" ca="1" si="1"/>
        <v>173634.62330823732</v>
      </c>
      <c r="G15" s="909">
        <f t="shared" si="1"/>
        <v>151818.42837895532</v>
      </c>
      <c r="H15" s="909">
        <f t="shared" si="1"/>
        <v>34367.504398740792</v>
      </c>
      <c r="I15" s="909">
        <f t="shared" si="1"/>
        <v>0</v>
      </c>
      <c r="J15" s="909">
        <f t="shared" si="1"/>
        <v>3401.7503962935921</v>
      </c>
      <c r="K15" s="909">
        <f t="shared" si="1"/>
        <v>0</v>
      </c>
      <c r="L15" s="909">
        <f t="shared" ca="1" si="1"/>
        <v>0</v>
      </c>
      <c r="M15" s="909">
        <f t="shared" si="1"/>
        <v>9849.2546745806358</v>
      </c>
      <c r="N15" s="909">
        <f t="shared" ca="1" si="1"/>
        <v>27086.833191882764</v>
      </c>
      <c r="O15" s="909">
        <f t="shared" si="1"/>
        <v>517.46333333333337</v>
      </c>
      <c r="P15" s="909">
        <f t="shared" si="1"/>
        <v>2192.6666666666665</v>
      </c>
      <c r="Q15" s="909">
        <f t="shared" ca="1" si="1"/>
        <v>816315.76785123732</v>
      </c>
    </row>
    <row r="17" spans="1:17">
      <c r="A17" s="452" t="s">
        <v>551</v>
      </c>
      <c r="B17" s="715">
        <f ca="1">huishoudens!B10</f>
        <v>0.20721364734850659</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15530.717806919363</v>
      </c>
      <c r="C22" s="442">
        <f t="shared" ref="C22:C32" ca="1" si="3">C4*$C$17</f>
        <v>0</v>
      </c>
      <c r="D22" s="442">
        <f t="shared" ref="D22:D32" si="4">D4*$D$17</f>
        <v>24805.750116835854</v>
      </c>
      <c r="E22" s="442">
        <f t="shared" ref="E22:E32" si="5">E4*$E$17</f>
        <v>972.92218228996285</v>
      </c>
      <c r="F22" s="442">
        <f t="shared" ref="F22:F32" si="6">F4*$F$17</f>
        <v>36101.0576773992</v>
      </c>
      <c r="G22" s="442">
        <f t="shared" ref="G22:G32" si="7">G4*$G$17</f>
        <v>0</v>
      </c>
      <c r="H22" s="442">
        <f t="shared" ref="H22:H32" si="8">H4*$H$17</f>
        <v>0</v>
      </c>
      <c r="I22" s="442">
        <f t="shared" ref="I22:I32" si="9">I4*$I$17</f>
        <v>0</v>
      </c>
      <c r="J22" s="442">
        <f t="shared" ref="J22:J32" si="10">J4*$J$17</f>
        <v>1116.1942196593598</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78526.642003103741</v>
      </c>
    </row>
    <row r="23" spans="1:17">
      <c r="A23" s="441" t="s">
        <v>149</v>
      </c>
      <c r="B23" s="442">
        <f t="shared" ca="1" si="2"/>
        <v>10894.718476827626</v>
      </c>
      <c r="C23" s="442">
        <f t="shared" ca="1" si="3"/>
        <v>0</v>
      </c>
      <c r="D23" s="442">
        <f t="shared" ca="1" si="4"/>
        <v>9708.2669189374992</v>
      </c>
      <c r="E23" s="442">
        <f t="shared" si="5"/>
        <v>182.83550659604023</v>
      </c>
      <c r="F23" s="442">
        <f t="shared" ca="1" si="6"/>
        <v>3121.8173171778776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23907.63821953904</v>
      </c>
    </row>
    <row r="24" spans="1:17">
      <c r="A24" s="441" t="s">
        <v>187</v>
      </c>
      <c r="B24" s="442">
        <f t="shared" ca="1" si="2"/>
        <v>569.47221254811768</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569.47221254811768</v>
      </c>
    </row>
    <row r="25" spans="1:17">
      <c r="A25" s="441" t="s">
        <v>105</v>
      </c>
      <c r="B25" s="442">
        <f t="shared" ca="1" si="2"/>
        <v>401.0482761782153</v>
      </c>
      <c r="C25" s="442">
        <f t="shared" ca="1" si="3"/>
        <v>0</v>
      </c>
      <c r="D25" s="442">
        <f t="shared" si="4"/>
        <v>97.443688003632275</v>
      </c>
      <c r="E25" s="442">
        <f t="shared" si="5"/>
        <v>9.4210785762197045</v>
      </c>
      <c r="F25" s="442">
        <f t="shared" si="6"/>
        <v>1676.2064406968325</v>
      </c>
      <c r="G25" s="442">
        <f t="shared" si="7"/>
        <v>0</v>
      </c>
      <c r="H25" s="442">
        <f t="shared" si="8"/>
        <v>0</v>
      </c>
      <c r="I25" s="442">
        <f t="shared" si="9"/>
        <v>0</v>
      </c>
      <c r="J25" s="442">
        <f t="shared" si="10"/>
        <v>66.013941181158515</v>
      </c>
      <c r="K25" s="442">
        <f t="shared" si="11"/>
        <v>0</v>
      </c>
      <c r="L25" s="442">
        <f t="shared" si="12"/>
        <v>0</v>
      </c>
      <c r="M25" s="442">
        <f t="shared" si="13"/>
        <v>0</v>
      </c>
      <c r="N25" s="442">
        <f t="shared" si="14"/>
        <v>0</v>
      </c>
      <c r="O25" s="442">
        <f t="shared" si="15"/>
        <v>0</v>
      </c>
      <c r="P25" s="443">
        <f t="shared" si="16"/>
        <v>0</v>
      </c>
      <c r="Q25" s="441">
        <f t="shared" ca="1" si="17"/>
        <v>2250.133424636058</v>
      </c>
    </row>
    <row r="26" spans="1:17">
      <c r="A26" s="441" t="s">
        <v>612</v>
      </c>
      <c r="B26" s="442">
        <f t="shared" ca="1" si="2"/>
        <v>11472.993208000569</v>
      </c>
      <c r="C26" s="442">
        <f t="shared" ca="1" si="3"/>
        <v>0</v>
      </c>
      <c r="D26" s="442">
        <f t="shared" si="4"/>
        <v>7034.1996578819044</v>
      </c>
      <c r="E26" s="442">
        <f t="shared" si="5"/>
        <v>1425.2394333392108</v>
      </c>
      <c r="F26" s="442">
        <f t="shared" si="6"/>
        <v>5461.3629880254584</v>
      </c>
      <c r="G26" s="442">
        <f t="shared" si="7"/>
        <v>0</v>
      </c>
      <c r="H26" s="442">
        <f t="shared" si="8"/>
        <v>0</v>
      </c>
      <c r="I26" s="442">
        <f t="shared" si="9"/>
        <v>0</v>
      </c>
      <c r="J26" s="442">
        <f t="shared" si="10"/>
        <v>22.011479447413254</v>
      </c>
      <c r="K26" s="442">
        <f t="shared" si="11"/>
        <v>0</v>
      </c>
      <c r="L26" s="442">
        <f t="shared" si="12"/>
        <v>0</v>
      </c>
      <c r="M26" s="442">
        <f t="shared" si="13"/>
        <v>0</v>
      </c>
      <c r="N26" s="442">
        <f t="shared" si="14"/>
        <v>0</v>
      </c>
      <c r="O26" s="442">
        <f t="shared" si="15"/>
        <v>0</v>
      </c>
      <c r="P26" s="443">
        <f t="shared" si="16"/>
        <v>0</v>
      </c>
      <c r="Q26" s="441">
        <f t="shared" ca="1" si="17"/>
        <v>25415.806766694557</v>
      </c>
    </row>
    <row r="27" spans="1:17" s="447" customFormat="1">
      <c r="A27" s="445" t="s">
        <v>556</v>
      </c>
      <c r="B27" s="709">
        <f t="shared" ca="1" si="2"/>
        <v>7.1084680171164329</v>
      </c>
      <c r="C27" s="446">
        <f t="shared" ca="1" si="3"/>
        <v>0</v>
      </c>
      <c r="D27" s="446">
        <f t="shared" si="4"/>
        <v>11.352266073117452</v>
      </c>
      <c r="E27" s="446">
        <f t="shared" si="5"/>
        <v>122.90846749435032</v>
      </c>
      <c r="F27" s="446">
        <f t="shared" si="6"/>
        <v>0</v>
      </c>
      <c r="G27" s="446">
        <f t="shared" si="7"/>
        <v>39848.415624874746</v>
      </c>
      <c r="H27" s="446">
        <f t="shared" si="8"/>
        <v>8557.5085952864574</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48547.293421745781</v>
      </c>
    </row>
    <row r="28" spans="1:17">
      <c r="A28" s="441" t="s">
        <v>546</v>
      </c>
      <c r="B28" s="442">
        <f t="shared" ca="1" si="2"/>
        <v>2.8141747644403439</v>
      </c>
      <c r="C28" s="442">
        <f t="shared" ca="1" si="3"/>
        <v>0</v>
      </c>
      <c r="D28" s="442">
        <f t="shared" si="4"/>
        <v>0</v>
      </c>
      <c r="E28" s="442">
        <f t="shared" si="5"/>
        <v>0</v>
      </c>
      <c r="F28" s="442">
        <f t="shared" si="6"/>
        <v>0</v>
      </c>
      <c r="G28" s="442">
        <f t="shared" si="7"/>
        <v>687.10475230632767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689.91892707076806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462.75324710433716</v>
      </c>
      <c r="C32" s="442">
        <f t="shared" ca="1" si="3"/>
        <v>0</v>
      </c>
      <c r="D32" s="442">
        <f t="shared" si="4"/>
        <v>1093.0666861506977</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1555.8199332550348</v>
      </c>
    </row>
    <row r="33" spans="1:17" s="451" customFormat="1">
      <c r="A33" s="969" t="s">
        <v>550</v>
      </c>
      <c r="B33" s="909">
        <f ca="1">SUM(B22:B32)</f>
        <v>39341.625870359785</v>
      </c>
      <c r="C33" s="909">
        <f t="shared" ref="C33:Q33" ca="1" si="18">SUM(C22:C32)</f>
        <v>0</v>
      </c>
      <c r="D33" s="909">
        <f t="shared" ca="1" si="18"/>
        <v>42750.079333882699</v>
      </c>
      <c r="E33" s="909">
        <f t="shared" si="18"/>
        <v>2713.3266682957837</v>
      </c>
      <c r="F33" s="909">
        <f t="shared" ca="1" si="18"/>
        <v>46360.44442329937</v>
      </c>
      <c r="G33" s="909">
        <f t="shared" si="18"/>
        <v>40535.52037718107</v>
      </c>
      <c r="H33" s="909">
        <f t="shared" si="18"/>
        <v>8557.5085952864574</v>
      </c>
      <c r="I33" s="909">
        <f t="shared" si="18"/>
        <v>0</v>
      </c>
      <c r="J33" s="909">
        <f t="shared" si="18"/>
        <v>1204.2196402879315</v>
      </c>
      <c r="K33" s="909">
        <f t="shared" si="18"/>
        <v>0</v>
      </c>
      <c r="L33" s="909">
        <f t="shared" ca="1" si="18"/>
        <v>0</v>
      </c>
      <c r="M33" s="909">
        <f t="shared" si="18"/>
        <v>0</v>
      </c>
      <c r="N33" s="909">
        <f t="shared" ca="1" si="18"/>
        <v>0</v>
      </c>
      <c r="O33" s="909">
        <f t="shared" si="18"/>
        <v>0</v>
      </c>
      <c r="P33" s="909">
        <f t="shared" si="18"/>
        <v>0</v>
      </c>
      <c r="Q33" s="909">
        <f t="shared" ca="1" si="18"/>
        <v>181462.72490859311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11843.799823402558</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11843.799823402558</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0.20721364734850659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0.20721364734850659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2022-07-26T11:25:29Z</dcterms:modified>
</cp:coreProperties>
</file>