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541BAE8C-ABDC-49AC-97A1-09BF4A41BEC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3" i="18"/>
  <c r="V33" i="18"/>
  <c r="U33" i="18"/>
  <c r="T33" i="18"/>
  <c r="S33" i="18"/>
  <c r="F6" i="17"/>
  <c r="R33" i="18"/>
  <c r="Q33" i="18"/>
  <c r="P33" i="18"/>
  <c r="O33" i="18"/>
  <c r="N33" i="18"/>
  <c r="M33" i="18"/>
  <c r="W32" i="18"/>
  <c r="V32" i="18"/>
  <c r="U32" i="18"/>
  <c r="T32" i="18"/>
  <c r="S32" i="18"/>
  <c r="F13" i="15"/>
  <c r="R32" i="18"/>
  <c r="Q32" i="18"/>
  <c r="P32" i="18"/>
  <c r="O32" i="18"/>
  <c r="C13" i="15"/>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<sst xmlns="http://schemas.openxmlformats.org/spreadsheetml/2006/main" count="2441" uniqueCount="907">
  <si>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</si>
  <si>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</si>
  <si>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</si>
  <si>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</si>
  <si>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</si>
  <si>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</si>
  <si>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</si>
  <si>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</si>
  <si>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</si>
  <si>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</si>
  <si>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</si>
  <si>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</si>
  <si>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</si>
  <si>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</si>
  <si>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</si>
  <si>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</si>
  <si>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</si>
  <si>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</si>
  <si>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</si>
  <si>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</si>
  <si>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</si>
  <si>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</si>
  <si>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</si>
  <si>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</si>
  <si>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</si>
  <si>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</si>
  <si>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</si>
  <si>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</si>
  <si>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</si>
  <si>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</si>
  <si>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</si>
  <si>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</si>
  <si>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</si>
  <si>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</si>
  <si>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</si>
  <si>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</si>
  <si>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</si>
  <si>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</si>
  <si>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</si>
  <si>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</si>
  <si>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</si>
  <si>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</si>
  <si>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</si>
  <si>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</si>
  <si>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</si>
  <si>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</si>
  <si>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</si>
  <si>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</si>
  <si>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</si>
  <si>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</si>
  <si>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</si>
  <si>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</si>
  <si>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</si>
  <si>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</si>
  <si>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</si>
  <si>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</si>
  <si>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</si>
  <si>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</si>
  <si>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</si>
  <si>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</si>
  <si>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</si>
  <si>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</si>
  <si>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</si>
  <si>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</si>
  <si>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</si>
  <si>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</si>
  <si>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</si>
  <si>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</si>
  <si>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</si>
  <si>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</si>
  <si>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</si>
  <si>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</si>
  <si>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</si>
  <si>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</si>
  <si>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</si>
  <si>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</si>
  <si>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</si>
  <si>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</si>
  <si>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</si>
  <si>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</si>
  <si>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</si>
  <si>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</si>
  <si>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</si>
  <si>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</si>
  <si>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</si>
  <si>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</si>
  <si>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</si>
  <si>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</si>
  <si>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</si>
  <si>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</si>
  <si>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</si>
  <si>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</si>
  <si>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</si>
  <si>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</si>
  <si>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</si>
  <si>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</si>
  <si>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</si>
  <si>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</si>
  <si>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</si>
  <si>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</si>
  <si>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</si>
  <si>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</si>
  <si>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</si>
  <si>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</si>
  <si>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</si>
  <si>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</si>
  <si>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</si>
  <si>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</si>
  <si>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</si>
  <si>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</si>
  <si>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</si>
  <si>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</si>
  <si>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</si>
  <si>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</si>
  <si>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</si>
  <si>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</si>
  <si>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</si>
  <si>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</si>
  <si>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</si>
  <si>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</si>
  <si>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</si>
  <si>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</si>
  <si>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</si>
  <si>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</si>
  <si>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</si>
  <si>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</si>
  <si>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</si>
  <si>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</si>
  <si>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</si>
  <si>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</si>
  <si>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</si>
  <si>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</si>
  <si>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</si>
  <si>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</si>
  <si>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</si>
  <si>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</si>
  <si>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</si>
  <si>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</si>
  <si>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</si>
  <si>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</si>
  <si>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</si>
  <si>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</si>
  <si>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</si>
  <si>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</si>
  <si>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</si>
  <si>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</si>
  <si>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</si>
  <si>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</si>
  <si>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</si>
  <si>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</si>
  <si>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</si>
  <si>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</si>
  <si>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</si>
  <si>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</si>
  <si>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</si>
  <si>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</si>
  <si>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</si>
  <si>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</si>
  <si>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</si>
  <si>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</si>
  <si>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</si>
  <si>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</si>
  <si>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</si>
  <si>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</si>
  <si>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</si>
  <si>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</si>
  <si>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</si>
  <si>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</si>
  <si>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</si>
  <si>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</si>
  <si>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</si>
  <si>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</si>
  <si>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</si>
  <si>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</si>
  <si>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</si>
  <si>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</si>
  <si>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</si>
  <si>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</si>
  <si>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</si>
  <si>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</si>
  <si>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</si>
  <si>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</si>
  <si>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</si>
  <si>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</si>
  <si>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</si>
  <si>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</si>
  <si>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</si>
  <si>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</si>
  <si>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</si>
  <si>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</si>
  <si>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</si>
  <si>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</si>
  <si>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</si>
  <si>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</si>
  <si>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</si>
  <si>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</si>
  <si>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</si>
  <si>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</si>
  <si>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</si>
  <si>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</si>
  <si>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</si>
  <si>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</si>
  <si>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</si>
  <si>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</si>
  <si>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</si>
  <si>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</si>
  <si>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</si>
  <si>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</si>
  <si>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</si>
  <si>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</si>
  <si>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</si>
  <si>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</si>
  <si>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</si>
  <si>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</si>
  <si>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</si>
  <si>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</si>
  <si>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</si>
  <si>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</si>
  <si>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</si>
  <si>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</si>
  <si>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</si>
  <si>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</si>
  <si>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</si>
  <si>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</si>
  <si>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</si>
  <si>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</si>
  <si>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</si>
  <si>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</si>
  <si>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</si>
  <si>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</si>
  <si>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</si>
  <si>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</si>
  <si>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</si>
  <si>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</si>
  <si>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</si>
  <si>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</si>
  <si>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</si>
  <si>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</si>
  <si>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</si>
  <si>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</si>
  <si>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</si>
  <si>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</si>
  <si>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</si>
  <si>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</si>
  <si>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</si>
  <si>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</si>
  <si>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</si>
  <si>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</si>
  <si>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</si>
  <si>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</si>
  <si>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</si>
  <si>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</si>
  <si>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</si>
  <si>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</si>
  <si>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</si>
  <si>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</si>
  <si>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</si>
  <si>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</si>
  <si>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</si>
  <si>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</si>
  <si>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</si>
  <si>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</si>
  <si>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</si>
  <si>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</si>
  <si>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</si>
  <si>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</si>
  <si>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</si>
  <si>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</si>
  <si>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</si>
  <si>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</si>
  <si>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</si>
  <si>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</si>
  <si>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</si>
  <si>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</si>
  <si>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</si>
  <si>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</si>
  <si>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</si>
  <si>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</si>
  <si>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</si>
  <si>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</si>
  <si>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</si>
  <si>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</si>
  <si>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</si>
  <si>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</si>
  <si>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</si>
  <si>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</si>
  <si>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</si>
  <si>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</si>
  <si>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</si>
  <si>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</si>
  <si>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</si>
  <si>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</si>
  <si>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</si>
  <si>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</si>
  <si>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</si>
  <si>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</si>
  <si>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</si>
  <si>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</si>
  <si>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</si>
  <si>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</si>
  <si>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</si>
  <si>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</si>
  <si>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</si>
  <si>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</si>
  <si>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</si>
  <si>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</si>
  <si>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</si>
  <si>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</si>
  <si>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</si>
  <si>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</si>
  <si>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</si>
  <si>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</si>
  <si>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</si>
  <si>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</si>
  <si>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</si>
  <si>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</si>
  <si>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</si>
  <si>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</si>
  <si>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</si>
  <si>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</si>
  <si>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</si>
  <si>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</si>
  <si>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</si>
  <si>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</si>
  <si>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</si>
  <si>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</si>
  <si>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</si>
  <si>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</si>
  <si>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</si>
  <si>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</si>
  <si>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</si>
  <si>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</si>
  <si>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</si>
  <si>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</si>
  <si>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</si>
  <si>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</si>
  <si>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</si>
  <si>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</si>
  <si>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</si>
  <si>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</si>
  <si>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</si>
  <si>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</si>
  <si>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</si>
  <si>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</si>
  <si>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</si>
  <si>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</si>
  <si>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</si>
  <si>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</si>
  <si>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</si>
  <si>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</si>
  <si>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</si>
  <si>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</si>
  <si>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</si>
  <si>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</si>
  <si>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</si>
  <si>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</si>
  <si>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</si>
  <si>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</si>
  <si>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</si>
  <si>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</si>
  <si>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</si>
  <si>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</si>
  <si>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</si>
  <si>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</si>
  <si>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</si>
  <si>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</si>
  <si>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</si>
  <si>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</si>
  <si>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</si>
  <si>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</si>
  <si>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</si>
  <si>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</si>
  <si>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</si>
  <si>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</si>
  <si>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</si>
  <si>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</si>
  <si>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</si>
  <si>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</si>
  <si>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</si>
  <si>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</si>
  <si>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</si>
  <si>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</si>
  <si>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</si>
  <si>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</si>
  <si>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</si>
  <si>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</si>
  <si>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</si>
  <si>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</si>
  <si>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</si>
  <si>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</si>
  <si>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</si>
  <si>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</si>
  <si>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</si>
  <si>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</si>
  <si>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</si>
  <si>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</si>
  <si>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</si>
  <si>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</si>
  <si>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</si>
  <si>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</si>
  <si>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</si>
  <si>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</si>
  <si>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</si>
  <si>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</si>
  <si>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</si>
  <si>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</si>
  <si>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</si>
  <si>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</si>
  <si>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</si>
  <si>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</si>
  <si>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</si>
  <si>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</si>
  <si>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</si>
  <si>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</si>
  <si>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</si>
  <si>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</si>
  <si>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</si>
  <si>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</si>
  <si>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</si>
  <si>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</si>
  <si>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</si>
  <si>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</si>
  <si>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</si>
  <si>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</si>
  <si>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</si>
  <si>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</si>
  <si>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</si>
  <si>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</si>
  <si>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</si>
  <si>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</si>
  <si>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</si>
  <si>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</si>
  <si>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</si>
  <si>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</si>
  <si>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</si>
  <si>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</si>
  <si>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</si>
  <si>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</si>
  <si>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</si>
  <si>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</si>
  <si>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</si>
  <si>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</si>
  <si>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</si>
  <si>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</si>
  <si>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</si>
  <si>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</si>
  <si>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</si>
  <si>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</si>
  <si>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</si>
  <si>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</si>
  <si>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</si>
  <si>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</si>
  <si>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</si>
  <si>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</si>
  <si>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</si>
  <si>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</si>
  <si>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</si>
  <si>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</si>
  <si>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</si>
  <si>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</si>
  <si>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</si>
  <si>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</si>
  <si>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</si>
  <si>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</si>
  <si>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</si>
  <si>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</si>
  <si>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</si>
  <si>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</si>
  <si>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</si>
  <si>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</si>
  <si>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</si>
  <si>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</si>
  <si>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</si>
  <si>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</si>
  <si>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</si>
  <si>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</si>
  <si>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</si>
  <si>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</si>
  <si>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</si>
  <si>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</si>
  <si>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</si>
  <si>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</si>
  <si>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</si>
  <si>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</si>
  <si>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</si>
  <si>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</si>
  <si>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</si>
  <si>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</si>
  <si>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</si>
  <si>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</si>
  <si>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</si>
  <si>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</si>
  <si>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</si>
  <si>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</si>
  <si>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</si>
  <si>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</si>
  <si>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</si>
  <si>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</si>
  <si>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</si>
  <si>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</si>
  <si>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</si>
  <si>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</si>
  <si>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</si>
  <si>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</si>
  <si>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</si>
  <si>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</si>
  <si>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</si>
  <si>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</si>
  <si>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</si>
  <si>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</si>
  <si>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</si>
  <si>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</si>
  <si>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</si>
  <si>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</si>
  <si>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</si>
  <si>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</si>
  <si>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</si>
  <si>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</si>
  <si>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</si>
  <si>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</si>
  <si>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</si>
  <si>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</si>
  <si>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</si>
  <si>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</si>
  <si>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</si>
  <si>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</si>
  <si>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</si>
  <si>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</si>
  <si>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</si>
  <si>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</si>
  <si>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</si>
  <si>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</si>
  <si>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</si>
  <si>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</si>
  <si>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</si>
  <si>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</si>
  <si>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</si>
  <si>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</si>
  <si>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</si>
  <si>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</si>
  <si>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</si>
  <si>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</si>
  <si>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</si>
  <si>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</si>
  <si>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</si>
  <si>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</si>
  <si>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</si>
  <si>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</si>
  <si>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</si>
  <si>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</si>
  <si>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</si>
  <si>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</si>
  <si>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</si>
  <si>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</si>
  <si>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</si>
  <si>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</si>
  <si>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</si>
  <si>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</si>
  <si>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</si>
  <si>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</si>
  <si>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</si>
  <si>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</si>
  <si>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</si>
  <si>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</si>
  <si>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</si>
  <si>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</si>
  <si>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</si>
  <si>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</si>
  <si>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</si>
  <si>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</si>
  <si>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</si>
  <si>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</si>
  <si>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</si>
  <si>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</si>
  <si>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</si>
  <si>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</si>
  <si>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</si>
  <si>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</si>
  <si>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</si>
  <si>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</si>
  <si>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</si>
  <si>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</si>
  <si>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</si>
  <si>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</si>
  <si>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</si>
  <si>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</si>
  <si>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</si>
  <si>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</si>
  <si>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</si>
  <si>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</si>
  <si>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</si>
  <si>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</si>
  <si>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</si>
  <si>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</si>
  <si>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</si>
  <si>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</si>
  <si>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</si>
  <si>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</si>
  <si>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</si>
  <si>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</si>
  <si>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</si>
  <si>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</si>
  <si>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</si>
  <si>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</si>
  <si>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</si>
  <si>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</si>
  <si>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</si>
  <si>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</si>
  <si>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</si>
  <si>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</si>
  <si>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</si>
  <si>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</si>
  <si>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</si>
  <si>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</si>
  <si>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</si>
  <si>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</si>
  <si>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</si>
  <si>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</si>
  <si>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</si>
  <si>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</si>
  <si>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</si>
  <si>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</si>
  <si>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</si>
  <si>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</si>
  <si>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</si>
  <si>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</si>
  <si>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</si>
  <si>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</si>
  <si>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</si>
  <si>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</si>
  <si>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</si>
  <si>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</si>
  <si>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</si>
  <si>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</si>
  <si>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</si>
  <si>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</si>
  <si>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</si>
  <si>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</si>
  <si>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</si>
  <si>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</si>
  <si>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</si>
  <si>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</si>
  <si>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</si>
  <si>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</si>
  <si>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</si>
  <si>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</si>
  <si>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</si>
  <si>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</si>
  <si>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</si>
  <si>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</si>
  <si>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</si>
  <si>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</si>
  <si>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</si>
  <si>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</si>
  <si>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</si>
  <si>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</si>
  <si>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</si>
  <si>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</si>
  <si>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</si>
  <si>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</si>
  <si>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</si>
  <si>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</si>
  <si>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</si>
  <si>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</si>
  <si>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</si>
  <si>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</si>
  <si>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</si>
  <si>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</si>
  <si>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</si>
  <si>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</si>
  <si>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</si>
  <si>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</si>
  <si>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</si>
  <si>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</si>
  <si>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</si>
  <si>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</si>
  <si>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</si>
  <si>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</si>
  <si>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</si>
  <si>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</si>
  <si>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</si>
  <si>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</si>
  <si>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</si>
  <si>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</si>
  <si>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</si>
  <si>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</si>
  <si>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</si>
  <si>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</si>
  <si>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</si>
  <si>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</si>
  <si>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</si>
  <si>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</si>
  <si>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</si>
  <si>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</si>
  <si>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</si>
  <si>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</si>
  <si>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</si>
  <si>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</si>
  <si>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</si>
  <si>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</si>
  <si>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</si>
  <si>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</si>
  <si>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</si>
  <si>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</si>
  <si>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</si>
  <si>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</si>
  <si>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</si>
  <si>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</si>
  <si>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</si>
  <si>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</si>
  <si>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</si>
  <si>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</si>
  <si>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</si>
  <si>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</si>
  <si>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</si>
  <si>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</si>
  <si>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</si>
  <si>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</si>
  <si>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</si>
  <si>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</si>
  <si>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</si>
  <si>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</si>
  <si>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</si>
  <si>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</si>
  <si>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</si>
  <si>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</si>
  <si>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</si>
  <si>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</si>
  <si>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</si>
  <si>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</si>
  <si>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</si>
  <si>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</si>
  <si>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</si>
  <si>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</si>
  <si>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</si>
  <si>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</si>
  <si>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</si>
  <si>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</si>
  <si>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</si>
  <si>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</si>
  <si>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</si>
  <si>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</si>
  <si>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</si>
  <si>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</si>
  <si>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</si>
  <si>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</si>
  <si>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</si>
  <si>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</si>
  <si>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</si>
  <si>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</si>
  <si>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</si>
  <si>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</si>
  <si>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</si>
  <si>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</si>
  <si>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</si>
  <si>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</si>
  <si>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</si>
  <si>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</si>
  <si>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</si>
  <si>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</si>
  <si>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</si>
  <si>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</si>
  <si>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</si>
  <si>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</si>
  <si>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</si>
  <si>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</si>
  <si>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</si>
  <si>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</si>
  <si>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</si>
  <si>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</si>
  <si>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</si>
  <si>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</si>
  <si>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</si>
  <si>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</si>
  <si>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</si>
  <si>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</si>
  <si>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</si>
  <si>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</si>
  <si>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</si>
  <si>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</si>
  <si>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</si>
  <si>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</si>
  <si>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</si>
  <si>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</si>
  <si>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</si>
  <si>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</si>
  <si>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</si>
  <si>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</si>
  <si>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</si>
  <si>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</si>
  <si>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</si>
  <si>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</si>
  <si>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</si>
  <si>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</si>
  <si>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</si>
  <si>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</si>
  <si>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</si>
  <si>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</si>
  <si>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</si>
  <si>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</si>
  <si>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</si>
  <si>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</si>
  <si>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</si>
  <si>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</si>
  <si>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</si>
  <si>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</si>
  <si>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</si>
  <si>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</si>
  <si>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</si>
  <si>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</si>
  <si>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</si>
  <si>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</si>
  <si>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</si>
  <si>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</si>
  <si>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</si>
  <si>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</si>
  <si>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</si>
  <si>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</si>
  <si>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</si>
  <si>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</si>
  <si>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</si>
  <si>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</si>
  <si>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</si>
  <si>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</si>
  <si>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</si>
  <si>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</si>
  <si>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</si>
  <si>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</si>
  <si>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</si>
  <si>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</si>
  <si>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</si>
  <si>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</si>
  <si>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</si>
  <si>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</si>
  <si>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</si>
  <si>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</si>
  <si>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</si>
  <si>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</si>
  <si>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</si>
  <si>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</si>
  <si>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</si>
  <si>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</si>
  <si>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</si>
  <si>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</si>
  <si>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</si>
  <si>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</si>
  <si>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</si>
  <si>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</si>
  <si>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</si>
  <si>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</si>
  <si>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</si>
  <si>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</si>
  <si>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</si>
  <si>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</si>
  <si>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</si>
  <si>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</si>
  <si>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</si>
  <si>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</si>
  <si>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</si>
  <si>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</si>
  <si>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</si>
  <si>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</si>
  <si>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</si>
  <si>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</si>
  <si>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</si>
  <si>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</si>
  <si>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</si>
  <si>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</si>
  <si>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</si>
  <si>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</si>
  <si>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</si>
  <si>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</si>
  <si>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</si>
  <si>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</si>
  <si>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</si>
  <si>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</si>
  <si>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</si>
  <si>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</si>
  <si>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</si>
  <si>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</si>
  <si>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</si>
  <si>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</si>
  <si>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</si>
  <si>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</si>
  <si>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</si>
  <si>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</si>
  <si>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</si>
  <si>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</si>
  <si>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</si>
  <si>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</si>
  <si>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</si>
  <si>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</si>
  <si>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</si>
  <si>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</si>
  <si>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</si>
  <si>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</si>
  <si>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</si>
  <si>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</si>
  <si>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</si>
  <si>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11021</t>
  </si>
  <si>
    <t>HOVE</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</si>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</sst>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17764742-DDA8-42EE-AB33-BEA6117C3600}"/>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73382.384207402356</c:v>
                </c:pt>
                <c:pt idx="1">
                  <c:v>19349.411482383362</c:v>
                </c:pt>
                <c:pt idx="2">
                  <c:v>614.74199999999996</c:v>
                </c:pt>
                <c:pt idx="3">
                  <c:v>1100.0862762850234</c:v>
                </c:pt>
                <c:pt idx="4">
                  <c:v>4102.9632107416055</c:v>
                </c:pt>
                <c:pt idx="5">
                  <c:v>14157.128590537395</c:v>
                </c:pt>
                <c:pt idx="6">
                  <c:v>947.90926014388731</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73382.384207402356</c:v>
                </c:pt>
                <c:pt idx="1">
                  <c:v>19349.411482383362</c:v>
                </c:pt>
                <c:pt idx="2">
                  <c:v>614.74199999999996</c:v>
                </c:pt>
                <c:pt idx="3">
                  <c:v>1100.0862762850234</c:v>
                </c:pt>
                <c:pt idx="4">
                  <c:v>4102.9632107416055</c:v>
                </c:pt>
                <c:pt idx="5">
                  <c:v>14157.128590537395</c:v>
                </c:pt>
                <c:pt idx="6">
                  <c:v>947.90926014388731</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14733.019316171223</c:v>
                </c:pt>
                <c:pt idx="2">
                  <c:v>3997.6183946270221</c:v>
                </c:pt>
                <c:pt idx="3">
                  <c:v>129.99662122327013</c:v>
                </c:pt>
                <c:pt idx="4">
                  <c:v>270.49199869403492</c:v>
                </c:pt>
                <c:pt idx="5">
                  <c:v>858.67092466275051</c:v>
                </c:pt>
                <c:pt idx="6">
                  <c:v>3542.1307565480997</c:v>
                </c:pt>
                <c:pt idx="7">
                  <c:v>239.12190608067158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14733.019316171223</c:v>
                </c:pt>
                <c:pt idx="2">
                  <c:v>3997.6183946270221</c:v>
                </c:pt>
                <c:pt idx="3">
                  <c:v>129.99662122327013</c:v>
                </c:pt>
                <c:pt idx="4">
                  <c:v>270.49199869403492</c:v>
                </c:pt>
                <c:pt idx="5">
                  <c:v>858.67092466275051</c:v>
                </c:pt>
                <c:pt idx="6">
                  <c:v>3542.1307565480997</c:v>
                </c:pt>
                <c:pt idx="7">
                  <c:v>239.12190608067158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11021</v>
      </c>
      <c r="B6" s="381"/>
      <c r="C6" s="382"/>
    </row>
    <row r="7" spans="1:7" s="379" customFormat="1" ht="15.75" customHeight="1">
      <c r="A7" s="383" t="str">
        <f>txtMunicipality</f>
        <v>HOVE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0.21146533216092303</v>
      </c>
      <c r="C17" s="489">
        <f ca="1">'EF ele_warmte'!B22</f>
        <v>0.11882352941176472</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0.21146533216092303</v>
      </c>
      <c r="C29" s="490">
        <f ca="1">'EF ele_warmte'!B22</f>
        <v>0.11882352941176472</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3200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150</v>
      </c>
      <c r="C14" s="322"/>
      <c r="D14" s="322"/>
      <c r="E14" s="322"/>
      <c r="F14" s="322"/>
    </row>
    <row r="15" spans="1:6">
      <c r="A15" s="1261" t="s">
        <v>177</v>
      </c>
      <c r="B15" s="1262">
        <v>6</v>
      </c>
      <c r="C15" s="322"/>
      <c r="D15" s="322"/>
      <c r="E15" s="322"/>
      <c r="F15" s="322"/>
    </row>
    <row r="16" spans="1:6">
      <c r="A16" s="1261" t="s">
        <v>6</v>
      </c>
      <c r="B16" s="1262">
        <v>426</v>
      </c>
      <c r="C16" s="322"/>
      <c r="D16" s="322"/>
      <c r="E16" s="322"/>
      <c r="F16" s="322"/>
    </row>
    <row r="17" spans="1:6">
      <c r="A17" s="1261" t="s">
        <v>7</v>
      </c>
      <c r="B17" s="1262">
        <v>12</v>
      </c>
      <c r="C17" s="322"/>
      <c r="D17" s="322"/>
      <c r="E17" s="322"/>
      <c r="F17" s="322"/>
    </row>
    <row r="18" spans="1:6">
      <c r="A18" s="1261" t="s">
        <v>8</v>
      </c>
      <c r="B18" s="1262">
        <v>207</v>
      </c>
      <c r="C18" s="322"/>
      <c r="D18" s="322"/>
      <c r="E18" s="322"/>
      <c r="F18" s="322"/>
    </row>
    <row r="19" spans="1:6">
      <c r="A19" s="1261" t="s">
        <v>9</v>
      </c>
      <c r="B19" s="1262">
        <v>233</v>
      </c>
      <c r="C19" s="322"/>
      <c r="D19" s="322"/>
      <c r="E19" s="322"/>
      <c r="F19" s="322"/>
    </row>
    <row r="20" spans="1:6">
      <c r="A20" s="1261" t="s">
        <v>10</v>
      </c>
      <c r="B20" s="1262">
        <v>113</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76</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1</v>
      </c>
      <c r="C29" s="322"/>
      <c r="D29" s="322"/>
      <c r="E29" s="322"/>
      <c r="F29" s="322"/>
    </row>
    <row r="30" spans="1:6">
      <c r="A30" s="1256" t="s">
        <v>902</v>
      </c>
      <c r="B30" s="1264">
        <v>1</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3125.3580000000002</v>
      </c>
    </row>
    <row r="39" spans="1:6">
      <c r="A39" s="1261" t="s">
        <v>29</v>
      </c>
      <c r="B39" s="1261" t="s">
        <v>30</v>
      </c>
      <c r="C39" s="1262">
        <v>2575</v>
      </c>
      <c r="D39" s="1262">
        <v>47258712.011178397</v>
      </c>
      <c r="E39" s="1262">
        <v>3110</v>
      </c>
      <c r="F39" s="1262">
        <v>13407038</v>
      </c>
    </row>
    <row r="40" spans="1:6">
      <c r="A40" s="1261" t="s">
        <v>29</v>
      </c>
      <c r="B40" s="1261" t="s">
        <v>28</v>
      </c>
      <c r="C40" s="1262">
        <v>0</v>
      </c>
      <c r="D40" s="1262">
        <v>0</v>
      </c>
      <c r="E40" s="1262">
        <v>0</v>
      </c>
      <c r="F40" s="1262">
        <v>0</v>
      </c>
    </row>
    <row r="41" spans="1:6">
      <c r="A41" s="1261" t="s">
        <v>31</v>
      </c>
      <c r="B41" s="1261" t="s">
        <v>32</v>
      </c>
      <c r="C41" s="1262">
        <v>7</v>
      </c>
      <c r="D41" s="1262">
        <v>106480.604253308</v>
      </c>
      <c r="E41" s="1262">
        <v>23</v>
      </c>
      <c r="F41" s="1262">
        <v>160805.70000000001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16</v>
      </c>
      <c r="D48" s="1262">
        <v>486113.490140379</v>
      </c>
      <c r="E48" s="1262">
        <v>19</v>
      </c>
      <c r="F48" s="1262">
        <v>199031.8</v>
      </c>
    </row>
    <row r="49" spans="1:6">
      <c r="A49" s="1261" t="s">
        <v>31</v>
      </c>
      <c r="B49" s="1261" t="s">
        <v>39</v>
      </c>
      <c r="C49" s="1262">
        <v>0</v>
      </c>
      <c r="D49" s="1262">
        <v>0</v>
      </c>
      <c r="E49" s="1262">
        <v>0</v>
      </c>
      <c r="F49" s="1262">
        <v>0</v>
      </c>
    </row>
    <row r="50" spans="1:6">
      <c r="A50" s="1261" t="s">
        <v>31</v>
      </c>
      <c r="B50" s="1261" t="s">
        <v>40</v>
      </c>
      <c r="C50" s="1262">
        <v>6</v>
      </c>
      <c r="D50" s="1262">
        <v>880429.22998428601</v>
      </c>
      <c r="E50" s="1262">
        <v>7</v>
      </c>
      <c r="F50" s="1262">
        <v>627022.6</v>
      </c>
    </row>
    <row r="51" spans="1:6">
      <c r="A51" s="1261" t="s">
        <v>41</v>
      </c>
      <c r="B51" s="1261" t="s">
        <v>42</v>
      </c>
      <c r="C51" s="1262">
        <v>0</v>
      </c>
      <c r="D51" s="1262">
        <v>0</v>
      </c>
      <c r="E51" s="1262">
        <v>8</v>
      </c>
      <c r="F51" s="1262">
        <v>201200.7</v>
      </c>
    </row>
    <row r="52" spans="1:6">
      <c r="A52" s="1261" t="s">
        <v>41</v>
      </c>
      <c r="B52" s="1261" t="s">
        <v>28</v>
      </c>
      <c r="C52" s="1262">
        <v>4</v>
      </c>
      <c r="D52" s="1262">
        <v>52732.687188836702</v>
      </c>
      <c r="E52" s="1262">
        <v>5</v>
      </c>
      <c r="F52" s="1262">
        <v>25824.46</v>
      </c>
    </row>
    <row r="53" spans="1:6">
      <c r="A53" s="1261" t="s">
        <v>43</v>
      </c>
      <c r="B53" s="1261" t="s">
        <v>44</v>
      </c>
      <c r="C53" s="1262">
        <v>63</v>
      </c>
      <c r="D53" s="1262">
        <v>1545467.1586574099</v>
      </c>
      <c r="E53" s="1262">
        <v>93</v>
      </c>
      <c r="F53" s="1262">
        <v>477012.7</v>
      </c>
    </row>
    <row r="54" spans="1:6">
      <c r="A54" s="1261" t="s">
        <v>45</v>
      </c>
      <c r="B54" s="1261" t="s">
        <v>46</v>
      </c>
      <c r="C54" s="1262">
        <v>0</v>
      </c>
      <c r="D54" s="1262">
        <v>0</v>
      </c>
      <c r="E54" s="1262">
        <v>1</v>
      </c>
      <c r="F54" s="1262">
        <v>614742</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14</v>
      </c>
      <c r="D57" s="1262">
        <v>377782.11726479401</v>
      </c>
      <c r="E57" s="1262">
        <v>28</v>
      </c>
      <c r="F57" s="1262">
        <v>217386.2</v>
      </c>
    </row>
    <row r="58" spans="1:6">
      <c r="A58" s="1261" t="s">
        <v>48</v>
      </c>
      <c r="B58" s="1261" t="s">
        <v>50</v>
      </c>
      <c r="C58" s="1262">
        <v>29</v>
      </c>
      <c r="D58" s="1262">
        <v>1359284.7017137201</v>
      </c>
      <c r="E58" s="1262">
        <v>33</v>
      </c>
      <c r="F58" s="1262">
        <v>313746.5</v>
      </c>
    </row>
    <row r="59" spans="1:6">
      <c r="A59" s="1261" t="s">
        <v>48</v>
      </c>
      <c r="B59" s="1261" t="s">
        <v>51</v>
      </c>
      <c r="C59" s="1262">
        <v>28</v>
      </c>
      <c r="D59" s="1262">
        <v>779676.43450503598</v>
      </c>
      <c r="E59" s="1262">
        <v>54</v>
      </c>
      <c r="F59" s="1262">
        <v>988907.2</v>
      </c>
    </row>
    <row r="60" spans="1:6">
      <c r="A60" s="1261" t="s">
        <v>48</v>
      </c>
      <c r="B60" s="1261" t="s">
        <v>52</v>
      </c>
      <c r="C60" s="1262">
        <v>17</v>
      </c>
      <c r="D60" s="1262">
        <v>688391.54422936204</v>
      </c>
      <c r="E60" s="1262">
        <v>18</v>
      </c>
      <c r="F60" s="1262">
        <v>423870.5</v>
      </c>
    </row>
    <row r="61" spans="1:6">
      <c r="A61" s="1261" t="s">
        <v>48</v>
      </c>
      <c r="B61" s="1261" t="s">
        <v>53</v>
      </c>
      <c r="C61" s="1262">
        <v>118</v>
      </c>
      <c r="D61" s="1262">
        <v>4485629.3841310097</v>
      </c>
      <c r="E61" s="1262">
        <v>191</v>
      </c>
      <c r="F61" s="1262">
        <v>2754619</v>
      </c>
    </row>
    <row r="62" spans="1:6">
      <c r="A62" s="1261" t="s">
        <v>48</v>
      </c>
      <c r="B62" s="1261" t="s">
        <v>54</v>
      </c>
      <c r="C62" s="1262">
        <v>0</v>
      </c>
      <c r="D62" s="1262">
        <v>0</v>
      </c>
      <c r="E62" s="1262">
        <v>0</v>
      </c>
      <c r="F62" s="1262">
        <v>0</v>
      </c>
    </row>
    <row r="63" spans="1:6">
      <c r="A63" s="1261" t="s">
        <v>48</v>
      </c>
      <c r="B63" s="1261" t="s">
        <v>28</v>
      </c>
      <c r="C63" s="1262">
        <v>84</v>
      </c>
      <c r="D63" s="1262">
        <v>3549702.0165079301</v>
      </c>
      <c r="E63" s="1262">
        <v>85</v>
      </c>
      <c r="F63" s="1262">
        <v>2672006</v>
      </c>
    </row>
    <row r="64" spans="1:6">
      <c r="A64" s="1261" t="s">
        <v>55</v>
      </c>
      <c r="B64" s="1261" t="s">
        <v>56</v>
      </c>
      <c r="C64" s="1262">
        <v>0</v>
      </c>
      <c r="D64" s="1262">
        <v>0</v>
      </c>
      <c r="E64" s="1262">
        <v>0</v>
      </c>
      <c r="F64" s="1262">
        <v>0</v>
      </c>
    </row>
    <row r="65" spans="1:6">
      <c r="A65" s="1261" t="s">
        <v>55</v>
      </c>
      <c r="B65" s="1261" t="s">
        <v>28</v>
      </c>
      <c r="C65" s="1262">
        <v>0</v>
      </c>
      <c r="D65" s="1262">
        <v>0</v>
      </c>
      <c r="E65" s="1262">
        <v>3</v>
      </c>
      <c r="F65" s="1262">
        <v>31655.66</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15314000</v>
      </c>
      <c r="E73" s="440"/>
      <c r="F73" s="322"/>
    </row>
    <row r="74" spans="1:6">
      <c r="A74" s="1261" t="s">
        <v>63</v>
      </c>
      <c r="B74" s="1261" t="s">
        <v>670</v>
      </c>
      <c r="C74" s="1274" t="s">
        <v>672</v>
      </c>
      <c r="D74" s="1262">
        <v>479880.86364724091</v>
      </c>
      <c r="E74" s="440"/>
      <c r="F74" s="322"/>
    </row>
    <row r="75" spans="1:6">
      <c r="A75" s="1261" t="s">
        <v>64</v>
      </c>
      <c r="B75" s="1261" t="s">
        <v>669</v>
      </c>
      <c r="C75" s="1274" t="s">
        <v>673</v>
      </c>
      <c r="D75" s="1262">
        <v>3890462</v>
      </c>
      <c r="E75" s="440"/>
      <c r="F75" s="322"/>
    </row>
    <row r="76" spans="1:6">
      <c r="A76" s="1261" t="s">
        <v>64</v>
      </c>
      <c r="B76" s="1261" t="s">
        <v>670</v>
      </c>
      <c r="C76" s="1274" t="s">
        <v>674</v>
      </c>
      <c r="D76" s="1262">
        <v>6073</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254592.2727055182</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1000.9048454765327</v>
      </c>
      <c r="C91" s="322"/>
      <c r="D91" s="322"/>
      <c r="E91" s="322"/>
      <c r="F91" s="322"/>
    </row>
    <row r="92" spans="1:6">
      <c r="A92" s="1256" t="s">
        <v>68</v>
      </c>
      <c r="B92" s="1257">
        <v>0</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2061</v>
      </c>
      <c r="C97" s="322"/>
      <c r="D97" s="322"/>
      <c r="E97" s="322"/>
      <c r="F97" s="322"/>
    </row>
    <row r="98" spans="1:6">
      <c r="A98" s="1261" t="s">
        <v>71</v>
      </c>
      <c r="B98" s="1262">
        <v>1</v>
      </c>
      <c r="C98" s="322"/>
      <c r="D98" s="322"/>
      <c r="E98" s="322"/>
      <c r="F98" s="322"/>
    </row>
    <row r="99" spans="1:6">
      <c r="A99" s="1261" t="s">
        <v>72</v>
      </c>
      <c r="B99" s="1262">
        <v>4</v>
      </c>
      <c r="C99" s="322"/>
      <c r="D99" s="322"/>
      <c r="E99" s="322"/>
      <c r="F99" s="322"/>
    </row>
    <row r="100" spans="1:6">
      <c r="A100" s="1261" t="s">
        <v>73</v>
      </c>
      <c r="B100" s="1262">
        <v>226</v>
      </c>
      <c r="C100" s="322"/>
      <c r="D100" s="322"/>
      <c r="E100" s="322"/>
      <c r="F100" s="322"/>
    </row>
    <row r="101" spans="1:6">
      <c r="A101" s="1261" t="s">
        <v>74</v>
      </c>
      <c r="B101" s="1262">
        <v>12</v>
      </c>
      <c r="C101" s="322"/>
      <c r="D101" s="322"/>
      <c r="E101" s="322"/>
      <c r="F101" s="322"/>
    </row>
    <row r="102" spans="1:6">
      <c r="A102" s="1261" t="s">
        <v>75</v>
      </c>
      <c r="B102" s="1262">
        <v>31</v>
      </c>
      <c r="C102" s="322"/>
      <c r="D102" s="322"/>
      <c r="E102" s="322"/>
      <c r="F102" s="322"/>
    </row>
    <row r="103" spans="1:6">
      <c r="A103" s="1261" t="s">
        <v>76</v>
      </c>
      <c r="B103" s="1262">
        <v>25</v>
      </c>
      <c r="C103" s="322"/>
      <c r="D103" s="322"/>
      <c r="E103" s="322"/>
      <c r="F103" s="322"/>
    </row>
    <row r="104" spans="1:6">
      <c r="A104" s="1261" t="s">
        <v>77</v>
      </c>
      <c r="B104" s="1262">
        <v>568</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65</v>
      </c>
      <c r="C123" s="1262">
        <v>5</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52</v>
      </c>
      <c r="C129" s="322"/>
      <c r="D129" s="322"/>
      <c r="E129" s="322"/>
      <c r="F129" s="322"/>
    </row>
    <row r="130" spans="1:6">
      <c r="A130" s="1261" t="s">
        <v>284</v>
      </c>
      <c r="B130" s="1262">
        <v>1</v>
      </c>
      <c r="C130" s="322"/>
      <c r="D130" s="322"/>
      <c r="E130" s="322"/>
      <c r="F130" s="322"/>
    </row>
    <row r="131" spans="1:6">
      <c r="A131" s="1261" t="s">
        <v>285</v>
      </c>
      <c r="B131" s="1262">
        <v>0</v>
      </c>
      <c r="C131" s="322"/>
      <c r="D131" s="322"/>
      <c r="E131" s="322"/>
      <c r="F131" s="322"/>
    </row>
    <row r="132" spans="1:6">
      <c r="A132" s="1256" t="s">
        <v>286</v>
      </c>
      <c r="B132" s="1257">
        <v>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24135.080593950122</v>
      </c>
      <c r="C3" s="43" t="s">
        <v>163</v>
      </c>
      <c r="D3" s="43"/>
      <c r="E3" s="153"/>
      <c r="F3" s="43"/>
      <c r="G3" s="43"/>
      <c r="H3" s="43"/>
      <c r="I3" s="43"/>
      <c r="J3" s="43"/>
      <c r="K3" s="96"/>
    </row>
    <row r="4" spans="1:11">
      <c r="A4" s="349" t="s">
        <v>164</v>
      </c>
      <c r="B4" s="49">
        <f>IF(ISERROR('SEAP template'!B78+'SEAP template'!C78),0,'SEAP template'!B78+'SEAP template'!C78)</f>
        <v>1088.2048454765329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10.373294117647058</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0.21146533216092303</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14.818991596638654</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124.71428571428569</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0.11882352941176472</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614.74199999999996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614.74199999999996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0.21146533216092303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129.99662122327013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13407.038</v>
      </c>
      <c r="C5" s="17">
        <f>IF(ISERROR('Eigen informatie GS &amp; warmtenet'!B57),0,'Eigen informatie GS &amp; warmtenet'!B57)</f>
        <v>0</v>
      </c>
      <c r="D5" s="30">
        <f>(SUM(HH_hh_gas_kWh,HH_rest_gas_kWh)/1000)*0.902</f>
        <v>42627.358234082916</v>
      </c>
      <c r="E5" s="17">
        <f>B32*B41</f>
        <v>345.15813308800938</v>
      </c>
      <c r="F5" s="17">
        <f>B36*B45</f>
        <v>10888.662272758782</v>
      </c>
      <c r="G5" s="18"/>
      <c r="H5" s="17"/>
      <c r="I5" s="17"/>
      <c r="J5" s="17">
        <f>B35*B44+C35*C44</f>
        <v>253.92319286613645</v>
      </c>
      <c r="K5" s="17"/>
      <c r="L5" s="17"/>
      <c r="M5" s="17"/>
      <c r="N5" s="17">
        <f>B34*B43+C34*C43</f>
        <v>3473.696195796646</v>
      </c>
      <c r="O5" s="17">
        <f>B52*B53*B54</f>
        <v>89.11</v>
      </c>
      <c r="P5" s="17">
        <f>B60*B61*B62/1000-B60*B61*B62/1000/B63</f>
        <v>1296.5333333333333</v>
      </c>
    </row>
    <row r="6" spans="1:16">
      <c r="A6" s="16" t="s">
        <v>593</v>
      </c>
      <c r="B6" s="717">
        <f>kWh_PV_kleiner_dan_10kW</f>
        <v>1000.9048454765327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14407.942845476533</v>
      </c>
      <c r="C8" s="21">
        <f>C5</f>
        <v>0</v>
      </c>
      <c r="D8" s="21">
        <f>D5</f>
        <v>42627.358234082916</v>
      </c>
      <c r="E8" s="21">
        <f>E5</f>
        <v>345.15813308800938</v>
      </c>
      <c r="F8" s="21">
        <f>F5</f>
        <v>10888.662272758782</v>
      </c>
      <c r="G8" s="21"/>
      <c r="H8" s="21"/>
      <c r="I8" s="21"/>
      <c r="J8" s="21">
        <f>J5</f>
        <v>253.92319286613645</v>
      </c>
      <c r="K8" s="21"/>
      <c r="L8" s="21">
        <f>L5</f>
        <v>0</v>
      </c>
      <c r="M8" s="21">
        <f>M5</f>
        <v>0</v>
      </c>
      <c r="N8" s="21">
        <f>N5</f>
        <v>3473.696195796646</v>
      </c>
      <c r="O8" s="21">
        <f>O5</f>
        <v>89.11</v>
      </c>
      <c r="P8" s="21">
        <f>P5</f>
        <v>1296.5333333333333</v>
      </c>
    </row>
    <row r="9" spans="1:16">
      <c r="B9" s="19"/>
      <c r="C9" s="19"/>
      <c r="D9" s="253"/>
      <c r="E9" s="19"/>
      <c r="F9" s="19"/>
      <c r="G9" s="19"/>
      <c r="H9" s="19"/>
      <c r="I9" s="19"/>
      <c r="J9" s="19"/>
      <c r="K9" s="19"/>
      <c r="L9" s="19"/>
      <c r="M9" s="19"/>
      <c r="N9" s="19"/>
      <c r="O9" s="19"/>
      <c r="P9" s="19"/>
    </row>
    <row r="10" spans="1:16">
      <c r="A10" s="24" t="s">
        <v>207</v>
      </c>
      <c r="B10" s="25">
        <f ca="1">'EF ele_warmte'!B12</f>
        <v>0.21146533216092303</v>
      </c>
      <c r="C10" s="25">
        <f ca="1">'EF ele_warmte'!B22</f>
        <v>0.11882352941176472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3046.7804195742897</v>
      </c>
      <c r="C12" s="23">
        <f ca="1">C10*C8</f>
        <v>0</v>
      </c>
      <c r="D12" s="23">
        <f>D8*D10</f>
        <v>8610.7263632847498</v>
      </c>
      <c r="E12" s="23">
        <f>E10*E8</f>
        <v>78.350896210978135</v>
      </c>
      <c r="F12" s="23">
        <f>F10*F8</f>
        <v>2907.2728268265951</v>
      </c>
      <c r="G12" s="23"/>
      <c r="H12" s="23"/>
      <c r="I12" s="23"/>
      <c r="J12" s="23">
        <f>J10*J8</f>
        <v>89.888810274612297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3200</v>
      </c>
      <c r="C26" s="36"/>
      <c r="D26" s="224"/>
    </row>
    <row r="27" spans="1:5" s="15" customFormat="1">
      <c r="A27" s="226" t="s">
        <v>696</v>
      </c>
      <c r="B27" s="37">
        <f>SUM(HH_hh_gas_aantal,HH_rest_gas_aantal)</f>
        <v>2575</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2446.25</v>
      </c>
      <c r="C31" s="34" t="s">
        <v>104</v>
      </c>
      <c r="D31" s="170"/>
    </row>
    <row r="32" spans="1:5">
      <c r="A32" s="167" t="s">
        <v>72</v>
      </c>
      <c r="B32" s="33">
        <f>IF((B21*($B$26-($B$27-0.05*$B$27)-$B$60))&lt;0,0,B21*($B$26-($B$27-0.05*$B$27)-$B$60))</f>
        <v>4.3238049233164251</v>
      </c>
      <c r="C32" s="34" t="s">
        <v>104</v>
      </c>
      <c r="D32" s="170"/>
    </row>
    <row r="33" spans="1:6">
      <c r="A33" s="167" t="s">
        <v>73</v>
      </c>
      <c r="B33" s="33">
        <f>IF((B22*($B$26-($B$27-0.05*$B$27)-$B$60))&lt;0,0,B22*($B$26-($B$27-0.05*$B$27)-$B$60))</f>
        <v>150.57059457872128</v>
      </c>
      <c r="C33" s="34" t="s">
        <v>104</v>
      </c>
      <c r="D33" s="170"/>
    </row>
    <row r="34" spans="1:6">
      <c r="A34" s="167" t="s">
        <v>74</v>
      </c>
      <c r="B34" s="33">
        <f>IF((B24*($B$26-($B$27-0.05*$B$27)-$B$60))&lt;0,0,B24*($B$26-($B$27-0.05*$B$27)-$B$60))</f>
        <v>29.887596910755846</v>
      </c>
      <c r="C34" s="33">
        <f>B26*C24</f>
        <v>654.71898375839669</v>
      </c>
      <c r="D34" s="229"/>
    </row>
    <row r="35" spans="1:6">
      <c r="A35" s="167" t="s">
        <v>76</v>
      </c>
      <c r="B35" s="33">
        <f>IF((B19*($B$26-($B$27-0.05*$B$27)-$B$60))&lt;0,0,B19*($B$26-($B$27-0.05*$B$27)-$B$60))</f>
        <v>14.601790785941393</v>
      </c>
      <c r="C35" s="33">
        <f>B35/2</f>
        <v>7.3008953929706966</v>
      </c>
      <c r="D35" s="229"/>
    </row>
    <row r="36" spans="1:6">
      <c r="A36" s="167" t="s">
        <v>77</v>
      </c>
      <c r="B36" s="33">
        <f>IF((B18*($B$26-($B$27-0.05*$B$27)-$B$60))&lt;0,0,B18*($B$26-($B$27-0.05*$B$27)-$B$60))</f>
        <v>486.36621280126531</v>
      </c>
      <c r="C36" s="34" t="s">
        <v>104</v>
      </c>
      <c r="D36" s="170"/>
    </row>
    <row r="37" spans="1:6">
      <c r="A37" s="167" t="s">
        <v>78</v>
      </c>
      <c r="B37" s="33">
        <f>B60</f>
        <v>68</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57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68</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7370.5354000000007</v>
      </c>
      <c r="C5" s="17">
        <f>IF(ISERROR('Eigen informatie GS &amp; warmtenet'!B58),0,'Eigen informatie GS &amp; warmtenet'!B58)</f>
        <v>0</v>
      </c>
      <c r="D5" s="30">
        <f>SUM(D6:D12)</f>
        <v>10138.90051091337</v>
      </c>
      <c r="E5" s="17">
        <f>SUM(E6:E12)</f>
        <v>79.291255885413364</v>
      </c>
      <c r="F5" s="17">
        <f>SUM(F6:F12)</f>
        <v>1428.8426514563025</v>
      </c>
      <c r="G5" s="18"/>
      <c r="H5" s="17"/>
      <c r="I5" s="17"/>
      <c r="J5" s="17">
        <f>SUM(J6:J12)</f>
        <v>0</v>
      </c>
      <c r="K5" s="17"/>
      <c r="L5" s="17"/>
      <c r="M5" s="17"/>
      <c r="N5" s="17">
        <f>SUM(N6:N12)</f>
        <v>348.98547365208327</v>
      </c>
      <c r="O5" s="17">
        <f>B38*B39*B40</f>
        <v>1.5633333333333335</v>
      </c>
      <c r="P5" s="17">
        <f>B46*B47*B48/1000-B46*B47*B48/1000/B49</f>
        <v>0</v>
      </c>
      <c r="R5" s="32"/>
    </row>
    <row r="6" spans="1:18">
      <c r="A6" s="32" t="s">
        <v>53</v>
      </c>
      <c r="B6" s="37">
        <f>B26</f>
        <v>2754.6190000000001</v>
      </c>
      <c r="C6" s="33"/>
      <c r="D6" s="37">
        <f>IF(ISERROR(TER_kantoor_gas_kWh/1000),0,TER_kantoor_gas_kWh/1000)*0.902</f>
        <v>4046.0377044861712</v>
      </c>
      <c r="E6" s="33">
        <f>$C$26*'E Balans VL '!I12/100/3.6*1000000</f>
        <v>3.8630750000099578E-2</v>
      </c>
      <c r="F6" s="33">
        <f>$C$26*('E Balans VL '!L12+'E Balans VL '!N12)/100/3.6*1000000</f>
        <v>382.88752094298167</v>
      </c>
      <c r="G6" s="34"/>
      <c r="H6" s="33"/>
      <c r="I6" s="33"/>
      <c r="J6" s="33">
        <f>$C$26*('E Balans VL '!D12+'E Balans VL '!E12)/100/3.6*1000000</f>
        <v>0</v>
      </c>
      <c r="K6" s="33"/>
      <c r="L6" s="33"/>
      <c r="M6" s="33"/>
      <c r="N6" s="33">
        <f>$C$26*'E Balans VL '!Y12/100/3.6*1000000</f>
        <v>34.093321010018592</v>
      </c>
      <c r="O6" s="33"/>
      <c r="P6" s="33"/>
      <c r="R6" s="32"/>
    </row>
    <row r="7" spans="1:18">
      <c r="A7" s="32" t="s">
        <v>52</v>
      </c>
      <c r="B7" s="37">
        <f t="shared" ref="B7:B12" si="0">B27</f>
        <v>423.87049999999999</v>
      </c>
      <c r="C7" s="33"/>
      <c r="D7" s="37">
        <f>IF(ISERROR(TER_horeca_gas_kWh/1000),0,TER_horeca_gas_kWh/1000)*0.902</f>
        <v>620.92917289488457</v>
      </c>
      <c r="E7" s="33">
        <f>$C$27*'E Balans VL '!I9/100/3.6*1000000</f>
        <v>6.0504292413344638</v>
      </c>
      <c r="F7" s="33">
        <f>$C$27*('E Balans VL '!L9+'E Balans VL '!N9)/100/3.6*1000000</f>
        <v>65.894818856781455</v>
      </c>
      <c r="G7" s="34"/>
      <c r="H7" s="33"/>
      <c r="I7" s="33"/>
      <c r="J7" s="33">
        <f>$C$27*('E Balans VL '!D9+'E Balans VL '!E9)/100/3.6*1000000</f>
        <v>0</v>
      </c>
      <c r="K7" s="33"/>
      <c r="L7" s="33"/>
      <c r="M7" s="33"/>
      <c r="N7" s="33">
        <f>$C$27*'E Balans VL '!Y9/100/3.6*1000000</f>
        <v>0.10922475860179037</v>
      </c>
      <c r="O7" s="33"/>
      <c r="P7" s="33"/>
      <c r="R7" s="32"/>
    </row>
    <row r="8" spans="1:18">
      <c r="A8" s="6" t="s">
        <v>51</v>
      </c>
      <c r="B8" s="37">
        <f t="shared" si="0"/>
        <v>988.90719999999999</v>
      </c>
      <c r="C8" s="33"/>
      <c r="D8" s="37">
        <f>IF(ISERROR(TER_handel_gas_kWh/1000),0,TER_handel_gas_kWh/1000)*0.902</f>
        <v>703.26814392354254</v>
      </c>
      <c r="E8" s="33">
        <f>$C$28*'E Balans VL '!I13/100/3.6*1000000</f>
        <v>26.765002881231325</v>
      </c>
      <c r="F8" s="33">
        <f>$C$28*('E Balans VL '!L13+'E Balans VL '!N13)/100/3.6*1000000</f>
        <v>153.55886087390735</v>
      </c>
      <c r="G8" s="34"/>
      <c r="H8" s="33"/>
      <c r="I8" s="33"/>
      <c r="J8" s="33">
        <f>$C$28*('E Balans VL '!D13+'E Balans VL '!E13)/100/3.6*1000000</f>
        <v>0</v>
      </c>
      <c r="K8" s="33"/>
      <c r="L8" s="33"/>
      <c r="M8" s="33"/>
      <c r="N8" s="33">
        <f>$C$28*'E Balans VL '!Y13/100/3.6*1000000</f>
        <v>8.012798029901198</v>
      </c>
      <c r="O8" s="33"/>
      <c r="P8" s="33"/>
      <c r="R8" s="32"/>
    </row>
    <row r="9" spans="1:18">
      <c r="A9" s="32" t="s">
        <v>50</v>
      </c>
      <c r="B9" s="37">
        <f t="shared" si="0"/>
        <v>313.74650000000003</v>
      </c>
      <c r="C9" s="33"/>
      <c r="D9" s="37">
        <f>IF(ISERROR(TER_gezond_gas_kWh/1000),0,TER_gezond_gas_kWh/1000)*0.902</f>
        <v>1226.0748009457755</v>
      </c>
      <c r="E9" s="33">
        <f>$C$29*'E Balans VL '!I10/100/3.6*1000000</f>
        <v>1.957761850667419E-2</v>
      </c>
      <c r="F9" s="33">
        <f>$C$29*('E Balans VL '!L10+'E Balans VL '!N10)/100/3.6*1000000</f>
        <v>40.617471715639105</v>
      </c>
      <c r="G9" s="34"/>
      <c r="H9" s="33"/>
      <c r="I9" s="33"/>
      <c r="J9" s="33">
        <f>$C$29*('E Balans VL '!D10+'E Balans VL '!E10)/100/3.6*1000000</f>
        <v>0</v>
      </c>
      <c r="K9" s="33"/>
      <c r="L9" s="33"/>
      <c r="M9" s="33"/>
      <c r="N9" s="33">
        <f>$C$29*'E Balans VL '!Y10/100/3.6*1000000</f>
        <v>2.5724147082597746</v>
      </c>
      <c r="O9" s="33"/>
      <c r="P9" s="33"/>
      <c r="R9" s="32"/>
    </row>
    <row r="10" spans="1:18">
      <c r="A10" s="32" t="s">
        <v>49</v>
      </c>
      <c r="B10" s="37">
        <f t="shared" si="0"/>
        <v>217.3862</v>
      </c>
      <c r="C10" s="33"/>
      <c r="D10" s="37">
        <f>IF(ISERROR(TER_ander_gas_kWh/1000),0,TER_ander_gas_kWh/1000)*0.902</f>
        <v>340.75946977284423</v>
      </c>
      <c r="E10" s="33">
        <f>$C$30*'E Balans VL '!I14/100/3.6*1000000</f>
        <v>6.5627878893241931</v>
      </c>
      <c r="F10" s="33">
        <f>$C$30*('E Balans VL '!L14+'E Balans VL '!N14)/100/3.6*1000000</f>
        <v>137.63760974571269</v>
      </c>
      <c r="G10" s="34"/>
      <c r="H10" s="33"/>
      <c r="I10" s="33"/>
      <c r="J10" s="33">
        <f>$C$30*('E Balans VL '!D14+'E Balans VL '!E14)/100/3.6*1000000</f>
        <v>0</v>
      </c>
      <c r="K10" s="33"/>
      <c r="L10" s="33"/>
      <c r="M10" s="33"/>
      <c r="N10" s="33">
        <f>$C$30*'E Balans VL '!Y14/100/3.6*1000000</f>
        <v>87.989832876645153</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2672.0059999999999</v>
      </c>
      <c r="C12" s="33"/>
      <c r="D12" s="37">
        <f>IF(ISERROR(TER_rest_gas_kWh/1000),0,TER_rest_gas_kWh/1000)*0.902</f>
        <v>3201.8312188901532</v>
      </c>
      <c r="E12" s="33">
        <f>$C$32*'E Balans VL '!I8/100/3.6*1000000</f>
        <v>39.854827505016601</v>
      </c>
      <c r="F12" s="33">
        <f>$C$32*('E Balans VL '!L8+'E Balans VL '!N8)/100/3.6*1000000</f>
        <v>648.24636932128021</v>
      </c>
      <c r="G12" s="34"/>
      <c r="H12" s="33"/>
      <c r="I12" s="33"/>
      <c r="J12" s="33">
        <f>$C$32*('E Balans VL '!D8+'E Balans VL '!E8)/100/3.6*1000000</f>
        <v>0</v>
      </c>
      <c r="K12" s="33"/>
      <c r="L12" s="33"/>
      <c r="M12" s="33"/>
      <c r="N12" s="33">
        <f>$C$32*'E Balans VL '!Y8/100/3.6*1000000</f>
        <v>216.20788226865676</v>
      </c>
      <c r="O12" s="33"/>
      <c r="P12" s="33"/>
      <c r="R12" s="32"/>
    </row>
    <row r="13" spans="1:18">
      <c r="A13" s="16" t="s">
        <v>480</v>
      </c>
      <c r="B13" s="242">
        <f ca="1">'lokale energieproductie'!N39+'lokale energieproductie'!N32</f>
        <v>43.649999999999991</v>
      </c>
      <c r="C13" s="242">
        <f ca="1">'lokale energieproductie'!O39+'lokale energieproductie'!O32</f>
        <v>62.357142857142847</v>
      </c>
      <c r="D13" s="300">
        <f ca="1">('lokale energieproductie'!P32+'lokale energieproductie'!P39)*(-1)</f>
        <v>-124.71428571428569</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7414.1854000000003</v>
      </c>
      <c r="C16" s="21">
        <f t="shared" ca="1" si="1"/>
        <v>62.357142857142847</v>
      </c>
      <c r="D16" s="21">
        <f t="shared" ca="1" si="1"/>
        <v>10014.186225199084</v>
      </c>
      <c r="E16" s="21">
        <f t="shared" si="1"/>
        <v>79.291255885413364</v>
      </c>
      <c r="F16" s="21">
        <f t="shared" ca="1" si="1"/>
        <v>1428.8426514563025</v>
      </c>
      <c r="G16" s="21">
        <f t="shared" si="1"/>
        <v>0</v>
      </c>
      <c r="H16" s="21">
        <f t="shared" si="1"/>
        <v>0</v>
      </c>
      <c r="I16" s="21">
        <f t="shared" si="1"/>
        <v>0</v>
      </c>
      <c r="J16" s="21">
        <f t="shared" si="1"/>
        <v>0</v>
      </c>
      <c r="K16" s="21">
        <f t="shared" si="1"/>
        <v>0</v>
      </c>
      <c r="L16" s="21">
        <f t="shared" ca="1" si="1"/>
        <v>0</v>
      </c>
      <c r="M16" s="21">
        <f t="shared" si="1"/>
        <v>0</v>
      </c>
      <c r="N16" s="21">
        <f t="shared" ca="1" si="1"/>
        <v>348.98547365208327</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0.21146533216092303</v>
      </c>
      <c r="C18" s="25">
        <f ca="1">'EF ele_warmte'!B22</f>
        <v>0.11882352941176472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1567.8431783136662</v>
      </c>
      <c r="C20" s="23">
        <f t="shared" ref="C20:P20" ca="1" si="2">C16*C18</f>
        <v>7.4094957983193268</v>
      </c>
      <c r="D20" s="23">
        <f t="shared" ca="1" si="2"/>
        <v>2022.8656174902151</v>
      </c>
      <c r="E20" s="23">
        <f t="shared" si="2"/>
        <v>17.999115085988834</v>
      </c>
      <c r="F20" s="23">
        <f t="shared" ca="1" si="2"/>
        <v>381.50098793883279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2754.6190000000001</v>
      </c>
      <c r="C26" s="39">
        <f>IF(ISERROR(B26*3.6/1000000/'E Balans VL '!Z12*100),0,B26*3.6/1000000/'E Balans VL '!Z12*100)</f>
        <v>7.482061359647707E-2</v>
      </c>
      <c r="D26" s="232" t="s">
        <v>651</v>
      </c>
      <c r="F26" s="6"/>
    </row>
    <row r="27" spans="1:18">
      <c r="A27" s="227" t="s">
        <v>52</v>
      </c>
      <c r="B27" s="33">
        <f>IF(ISERROR(TER_horeca_ele_kWh/1000),0,TER_horeca_ele_kWh/1000)</f>
        <v>423.87049999999999</v>
      </c>
      <c r="C27" s="39">
        <f>IF(ISERROR(B27*3.6/1000000/'E Balans VL '!Z9*100),0,B27*3.6/1000000/'E Balans VL '!Z9*100)</f>
        <v>3.4061296064211662E-2</v>
      </c>
      <c r="D27" s="232" t="s">
        <v>651</v>
      </c>
      <c r="F27" s="6"/>
    </row>
    <row r="28" spans="1:18">
      <c r="A28" s="167" t="s">
        <v>51</v>
      </c>
      <c r="B28" s="33">
        <f>IF(ISERROR(TER_handel_ele_kWh/1000),0,TER_handel_ele_kWh/1000)</f>
        <v>988.90719999999999</v>
      </c>
      <c r="C28" s="39">
        <f>IF(ISERROR(B28*3.6/1000000/'E Balans VL '!Z13*100),0,B28*3.6/1000000/'E Balans VL '!Z13*100)</f>
        <v>2.9207500627103495E-2</v>
      </c>
      <c r="D28" s="232" t="s">
        <v>651</v>
      </c>
      <c r="F28" s="6"/>
    </row>
    <row r="29" spans="1:18">
      <c r="A29" s="227" t="s">
        <v>50</v>
      </c>
      <c r="B29" s="33">
        <f>IF(ISERROR(TER_gezond_ele_kWh/1000),0,TER_gezond_ele_kWh/1000)</f>
        <v>313.74650000000003</v>
      </c>
      <c r="C29" s="39">
        <f>IF(ISERROR(B29*3.6/1000000/'E Balans VL '!Z10*100),0,B29*3.6/1000000/'E Balans VL '!Z10*100)</f>
        <v>3.5881929935658162E-2</v>
      </c>
      <c r="D29" s="232" t="s">
        <v>651</v>
      </c>
      <c r="F29" s="6"/>
    </row>
    <row r="30" spans="1:18">
      <c r="A30" s="227" t="s">
        <v>49</v>
      </c>
      <c r="B30" s="33">
        <f>IF(ISERROR(TER_ander_ele_kWh/1000),0,TER_ander_ele_kWh/1000)</f>
        <v>217.3862</v>
      </c>
      <c r="C30" s="39">
        <f>IF(ISERROR(B30*3.6/1000000/'E Balans VL '!Z14*100),0,B30*3.6/1000000/'E Balans VL '!Z14*100)</f>
        <v>1.0158910074514612E-2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2672.0059999999999</v>
      </c>
      <c r="C32" s="39">
        <f>IF(ISERROR(B32*3.6/1000000/'E Balans VL '!Z8*100),0,B32*3.6/1000000/'E Balans VL '!Z8*100)</f>
        <v>2.2828298146747774E-2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986.86009999999999</v>
      </c>
      <c r="C5" s="17">
        <f>IF(ISERROR('Eigen informatie GS &amp; warmtenet'!B59),0,'Eigen informatie GS &amp; warmtenet'!B59)</f>
        <v>0</v>
      </c>
      <c r="D5" s="30">
        <f>SUM(D6:D15)</f>
        <v>1328.6670385889317</v>
      </c>
      <c r="E5" s="17">
        <f>SUM(E6:E15)</f>
        <v>60.732488747828697</v>
      </c>
      <c r="F5" s="17">
        <f>SUM(F6:F15)</f>
        <v>1356.551479188314</v>
      </c>
      <c r="G5" s="18"/>
      <c r="H5" s="17"/>
      <c r="I5" s="17"/>
      <c r="J5" s="17">
        <f>SUM(J6:J15)</f>
        <v>15.841706598552232</v>
      </c>
      <c r="K5" s="17"/>
      <c r="L5" s="17"/>
      <c r="M5" s="17"/>
      <c r="N5" s="17">
        <f>SUM(N6:N15)</f>
        <v>354.31039761797945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160.8057</v>
      </c>
      <c r="C9" s="33"/>
      <c r="D9" s="37">
        <f>IF( ISERROR(IND_andere_gas_kWh/1000),0,IND_andere_gas_kWh/1000)*0.902</f>
        <v>96.045505036483817</v>
      </c>
      <c r="E9" s="33">
        <f>C31*'E Balans VL '!I19/100/3.6*1000000</f>
        <v>44.214972045274649</v>
      </c>
      <c r="F9" s="33">
        <f>C31*'E Balans VL '!L19/100/3.6*1000000+C31*'E Balans VL '!N19/100/3.6*1000000</f>
        <v>126.74287380086494</v>
      </c>
      <c r="G9" s="34"/>
      <c r="H9" s="33"/>
      <c r="I9" s="33"/>
      <c r="J9" s="40">
        <f>C31*'E Balans VL '!D19/100/3.6*1000000+C31*'E Balans VL '!E19/100/3.6*1000000</f>
        <v>0</v>
      </c>
      <c r="K9" s="33"/>
      <c r="L9" s="33"/>
      <c r="M9" s="33"/>
      <c r="N9" s="33">
        <f>C31*'E Balans VL '!Y19/100/3.6*1000000</f>
        <v>12.954608524591961</v>
      </c>
      <c r="O9" s="33"/>
      <c r="P9" s="33"/>
      <c r="R9" s="32"/>
    </row>
    <row r="10" spans="1:18">
      <c r="A10" s="6" t="s">
        <v>40</v>
      </c>
      <c r="B10" s="37">
        <f t="shared" si="0"/>
        <v>627.02260000000001</v>
      </c>
      <c r="C10" s="33"/>
      <c r="D10" s="37">
        <f>IF( ISERROR(IND_voed_gas_kWh/1000),0,IND_voed_gas_kWh/1000)*0.902</f>
        <v>794.14716544582609</v>
      </c>
      <c r="E10" s="33">
        <f>C32*'E Balans VL '!I20/100/3.6*1000000</f>
        <v>6.3921499782786348</v>
      </c>
      <c r="F10" s="33">
        <f>C32*'E Balans VL '!L20/100/3.6*1000000+C32*'E Balans VL '!N20/100/3.6*1000000</f>
        <v>1184.4417697521974</v>
      </c>
      <c r="G10" s="34"/>
      <c r="H10" s="33"/>
      <c r="I10" s="33"/>
      <c r="J10" s="40">
        <f>C32*'E Balans VL '!D20/100/3.6*1000000+C32*'E Balans VL '!E20/100/3.6*1000000</f>
        <v>15.00670244523573</v>
      </c>
      <c r="K10" s="33"/>
      <c r="L10" s="33"/>
      <c r="M10" s="33"/>
      <c r="N10" s="33">
        <f>C32*'E Balans VL '!Y20/100/3.6*1000000</f>
        <v>330.51313434713751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199.03179999999998</v>
      </c>
      <c r="C15" s="33"/>
      <c r="D15" s="37">
        <f>IF( ISERROR(IND_rest_gas_kWh/1000),0,IND_rest_gas_kWh/1000)*0.902</f>
        <v>438.47436810662185</v>
      </c>
      <c r="E15" s="33">
        <f>C37*'E Balans VL '!I15/100/3.6*1000000</f>
        <v>10.125366724275407</v>
      </c>
      <c r="F15" s="33">
        <f>C37*'E Balans VL '!L15/100/3.6*1000000+C37*'E Balans VL '!N15/100/3.6*1000000</f>
        <v>45.366835635251647</v>
      </c>
      <c r="G15" s="34"/>
      <c r="H15" s="33"/>
      <c r="I15" s="33"/>
      <c r="J15" s="40">
        <f>C37*'E Balans VL '!D15/100/3.6*1000000+C37*'E Balans VL '!E15/100/3.6*1000000</f>
        <v>0.83500415331650213</v>
      </c>
      <c r="K15" s="33"/>
      <c r="L15" s="33"/>
      <c r="M15" s="33"/>
      <c r="N15" s="33">
        <f>C37*'E Balans VL '!Y15/100/3.6*1000000</f>
        <v>10.842654746249986</v>
      </c>
      <c r="O15" s="33"/>
      <c r="P15" s="33"/>
      <c r="R15" s="32"/>
    </row>
    <row r="16" spans="1:18">
      <c r="A16" s="16" t="s">
        <v>480</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986.86009999999999</v>
      </c>
      <c r="C18" s="21">
        <f>C5+C16</f>
        <v>0</v>
      </c>
      <c r="D18" s="21">
        <f>MAX((D5+D16),0)</f>
        <v>1328.6670385889317</v>
      </c>
      <c r="E18" s="21">
        <f>MAX((E5+E16),0)</f>
        <v>60.732488747828697</v>
      </c>
      <c r="F18" s="21">
        <f>MAX((F5+F16),0)</f>
        <v>1356.551479188314</v>
      </c>
      <c r="G18" s="21"/>
      <c r="H18" s="21"/>
      <c r="I18" s="21"/>
      <c r="J18" s="21">
        <f>MAX((J5+J16),0)</f>
        <v>15.841706598552232</v>
      </c>
      <c r="K18" s="21"/>
      <c r="L18" s="21">
        <f>MAX((L5+L16),0)</f>
        <v>0</v>
      </c>
      <c r="M18" s="21"/>
      <c r="N18" s="21">
        <f>MAX((N5+N16),0)</f>
        <v>354.31039761797945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0.21146533216092303</v>
      </c>
      <c r="C20" s="25">
        <f ca="1">'EF ele_warmte'!B22</f>
        <v>0.11882352941176472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208.68669884286172</v>
      </c>
      <c r="C22" s="23">
        <f ca="1">C18*C20</f>
        <v>0</v>
      </c>
      <c r="D22" s="23">
        <f>D18*D20</f>
        <v>268.39074179496424</v>
      </c>
      <c r="E22" s="23">
        <f>E18*E20</f>
        <v>13.786274945757114</v>
      </c>
      <c r="F22" s="23">
        <f>F18*F20</f>
        <v>362.19924494327989</v>
      </c>
      <c r="G22" s="23"/>
      <c r="H22" s="23"/>
      <c r="I22" s="23"/>
      <c r="J22" s="23">
        <f>J18*J20</f>
        <v>5.6079641358874897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160.8057</v>
      </c>
      <c r="C31" s="39">
        <f>IF(ISERROR(B31*3.6/1000000/'E Balans VL '!Z19*100),0,B31*3.6/1000000/'E Balans VL '!Z19*100)</f>
        <v>7.0384394026092537E-3</v>
      </c>
      <c r="D31" s="232" t="s">
        <v>651</v>
      </c>
    </row>
    <row r="32" spans="1:18">
      <c r="A32" s="167" t="s">
        <v>40</v>
      </c>
      <c r="B32" s="37">
        <f>IF( ISERROR(IND_voed_ele_kWh/1000),0,IND_voed_ele_kWh/1000)</f>
        <v>627.02260000000001</v>
      </c>
      <c r="C32" s="39">
        <f>IF(ISERROR(B32*3.6/1000000/'E Balans VL '!Z20*100),0,B32*3.6/1000000/'E Balans VL '!Z20*100)</f>
        <v>0.15522997336652855</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199.03179999999998</v>
      </c>
      <c r="C37" s="39">
        <f>IF(ISERROR(B37*3.6/1000000/'E Balans VL '!Z15*100),0,B37*3.6/1000000/'E Balans VL '!Z15*100)</f>
        <v>1.475786721313878E-3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227.02516</v>
      </c>
      <c r="C5" s="17">
        <f>'Eigen informatie GS &amp; warmtenet'!B60</f>
        <v>0</v>
      </c>
      <c r="D5" s="30">
        <f>IF(ISERROR(SUM(LB_lb_gas_kWh,LB_rest_gas_kWh)/1000),0,SUM(LB_lb_gas_kWh,LB_rest_gas_kWh)/1000)*0.902</f>
        <v>47.564883844330701</v>
      </c>
      <c r="E5" s="17">
        <f>B17*'E Balans VL '!I25/3.6*1000000/100</f>
        <v>4.8682229622990238</v>
      </c>
      <c r="F5" s="17">
        <f>B17*('E Balans VL '!L25/3.6*1000000+'E Balans VL '!N25/3.6*1000000)/100</f>
        <v>736.39687247690279</v>
      </c>
      <c r="G5" s="18"/>
      <c r="H5" s="17"/>
      <c r="I5" s="17"/>
      <c r="J5" s="17">
        <f>('E Balans VL '!D25+'E Balans VL '!E25)/3.6*1000000*landbouw!B17/100</f>
        <v>21.873994144347975</v>
      </c>
      <c r="K5" s="17"/>
      <c r="L5" s="17">
        <f>L6*(-1)</f>
        <v>0</v>
      </c>
      <c r="M5" s="17"/>
      <c r="N5" s="17">
        <f>N6*(-1)</f>
        <v>124.71428571428569</v>
      </c>
      <c r="O5" s="17"/>
      <c r="P5" s="17"/>
      <c r="R5" s="32"/>
    </row>
    <row r="6" spans="1:18">
      <c r="A6" s="16" t="s">
        <v>480</v>
      </c>
      <c r="B6" s="17" t="s">
        <v>204</v>
      </c>
      <c r="C6" s="17">
        <f>'lokale energieproductie'!O40+'lokale energieproductie'!O33</f>
        <v>62.357142857142847</v>
      </c>
      <c r="D6" s="300">
        <f>('lokale energieproductie'!P33+'lokale energieproductie'!P40)*(-1)</f>
        <v>0</v>
      </c>
      <c r="E6" s="243"/>
      <c r="F6" s="300">
        <f>('lokale energieproductie'!S33+'lokale energieproductie'!S869)*(-1)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227.02516</v>
      </c>
      <c r="C8" s="21">
        <f>C5+C6</f>
        <v>62.357142857142847</v>
      </c>
      <c r="D8" s="21">
        <f>MAX((D5+D6),0)</f>
        <v>47.564883844330701</v>
      </c>
      <c r="E8" s="21">
        <f>MAX((E5+E6),0)</f>
        <v>4.8682229622990238</v>
      </c>
      <c r="F8" s="21">
        <f>MAX((F5+F6),0)</f>
        <v>736.39687247690279</v>
      </c>
      <c r="G8" s="21"/>
      <c r="H8" s="21"/>
      <c r="I8" s="21"/>
      <c r="J8" s="21">
        <f>MAX((J5+J6),0)</f>
        <v>21.873994144347975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0.21146533216092303</v>
      </c>
      <c r="C10" s="31">
        <f ca="1">'EF ele_warmte'!B22</f>
        <v>0.11882352941176472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48.007950868286699</v>
      </c>
      <c r="C12" s="23">
        <f ca="1">C8*C10</f>
        <v>7.4094957983193268</v>
      </c>
      <c r="D12" s="23">
        <f>D8*D10</f>
        <v>9.6081065365548017</v>
      </c>
      <c r="E12" s="23">
        <f>E8*E10</f>
        <v>1.1050866124418786</v>
      </c>
      <c r="F12" s="23">
        <f>F8*F10</f>
        <v>196.61796495133305</v>
      </c>
      <c r="G12" s="23"/>
      <c r="H12" s="23"/>
      <c r="I12" s="23"/>
      <c r="J12" s="23">
        <f>J8*J10</f>
        <v>7.7433939270991825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3.2278163986553116E-2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75.838196930369449</v>
      </c>
      <c r="C26" s="242">
        <f>B26*'GWP N2O_CH4'!B5</f>
        <v>1592.6021355377584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14.745386023049226</v>
      </c>
      <c r="C27" s="242">
        <f>B27*'GWP N2O_CH4'!B5</f>
        <v>309.65310648403374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0.90966162060291278</v>
      </c>
      <c r="C28" s="242">
        <f>B28*'GWP N2O_CH4'!B4</f>
        <v>281.99510238690294</v>
      </c>
      <c r="D28" s="50"/>
    </row>
    <row r="29" spans="1:4">
      <c r="A29" s="41" t="s">
        <v>266</v>
      </c>
      <c r="B29" s="242">
        <f>B34*'ha_N2O bodem landbouw'!B4</f>
        <v>0.99296807213840677</v>
      </c>
      <c r="C29" s="242">
        <f>B29*'GWP N2O_CH4'!B4</f>
        <v>307.82010236290608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2.2270524515393387E-4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9.3804336624408149E-6</v>
      </c>
      <c r="C5" s="428" t="s">
        <v>204</v>
      </c>
      <c r="D5" s="413">
        <f>SUM(D6:D11)</f>
        <v>1.5598885343189269E-5</v>
      </c>
      <c r="E5" s="413">
        <f>SUM(E6:E11)</f>
        <v>1.5011467685001632E-4</v>
      </c>
      <c r="F5" s="426" t="s">
        <v>204</v>
      </c>
      <c r="G5" s="413">
        <f>SUM(G6:G11)</f>
        <v>3.8723663707705247E-2</v>
      </c>
      <c r="H5" s="413">
        <f>SUM(H6:H11)</f>
        <v>9.5310918498447347E-3</v>
      </c>
      <c r="I5" s="428" t="s">
        <v>204</v>
      </c>
      <c r="J5" s="428" t="s">
        <v>204</v>
      </c>
      <c r="K5" s="428" t="s">
        <v>204</v>
      </c>
      <c r="L5" s="428" t="s">
        <v>204</v>
      </c>
      <c r="M5" s="413">
        <f>SUM(M6:M11)</f>
        <v>2.5358133725289964E-3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7.1830201359850175E-6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1.0863791889308834E-5</v>
      </c>
      <c r="E6" s="819">
        <f>vkm_GW_PW*SUMIFS(TableVerdeelsleutelVkm[LPG],TableVerdeelsleutelVkm[Voertuigtype],"Lichte voertuigen")*SUMIFS(TableECFTransport[EnergieConsumptieFactor (PJ per km)],TableECFTransport[Index],CONCATENATE($A6,"_LPG_LPG"))</f>
        <v>1.0612609532886132E-4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2.4641029678025471E-2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6.7117498089898911E-3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1.6333443522768211E-3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1.1697691440618337E-7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4.4895988532752534E-3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1.0060076538093164E-7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2.6029720441501903E-4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2.0789562429517734E-6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4.7350934538804362E-6</v>
      </c>
      <c r="E8" s="416">
        <f>vkm_NGW_PW*SUMIFS(TableVerdeelsleutelVkm[LPG],TableVerdeelsleutelVkm[Voertuigtype],"Lichte voertuigen")*SUMIFS(TableECFTransport[EnergieConsumptieFactor (PJ per km)],TableECFTransport[Index],CONCATENATE($A8,"_LPG_LPG"))</f>
        <v>4.3988581521155001E-5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9.5200360379108263E-3</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2.8192399033948089E-3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6.3793948712957997E-4</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1.4803690978412617E-9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7.2999138493691786E-5</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1.5366946541792955E-9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4.2323287075759902E-6</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2.6056760173446709</v>
      </c>
      <c r="C14" s="21"/>
      <c r="D14" s="21">
        <f t="shared" ref="D14:M14" si="0">((D5)*10^9/3600)+D12</f>
        <v>4.3330237064414634</v>
      </c>
      <c r="E14" s="21">
        <f t="shared" si="0"/>
        <v>41.698521347226752</v>
      </c>
      <c r="F14" s="21"/>
      <c r="G14" s="21">
        <f t="shared" si="0"/>
        <v>10756.573252140346</v>
      </c>
      <c r="H14" s="21">
        <f t="shared" si="0"/>
        <v>2647.5255138457596</v>
      </c>
      <c r="I14" s="21"/>
      <c r="J14" s="21"/>
      <c r="K14" s="21"/>
      <c r="L14" s="21"/>
      <c r="M14" s="21">
        <f t="shared" si="0"/>
        <v>704.39260348027676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0.21146533216092303</v>
      </c>
      <c r="C16" s="56">
        <f ca="1">'EF ele_warmte'!B22</f>
        <v>0.11882352941176472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0.55101014451154184</v>
      </c>
      <c r="C18" s="23"/>
      <c r="D18" s="23">
        <f t="shared" ref="D18:M18" si="1">D14*D16</f>
        <v>0.87527078870117569</v>
      </c>
      <c r="E18" s="23">
        <f t="shared" si="1"/>
        <v>9.4655643458204732</v>
      </c>
      <c r="F18" s="23"/>
      <c r="G18" s="23">
        <f t="shared" si="1"/>
        <v>2872.0050583214725</v>
      </c>
      <c r="H18" s="23">
        <f t="shared" si="1"/>
        <v>659.23385294759419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1.694416484247501E-5</v>
      </c>
      <c r="C50" s="311">
        <f t="shared" ref="C50:P50" si="2">SUM(C51:C52)</f>
        <v>0</v>
      </c>
      <c r="D50" s="311">
        <f t="shared" si="2"/>
        <v>0</v>
      </c>
      <c r="E50" s="311">
        <f t="shared" si="2"/>
        <v>0</v>
      </c>
      <c r="F50" s="311">
        <f t="shared" si="2"/>
        <v>0</v>
      </c>
      <c r="G50" s="311">
        <f t="shared" si="2"/>
        <v>3.2106957245086674E-3</v>
      </c>
      <c r="H50" s="311">
        <f t="shared" si="2"/>
        <v>0</v>
      </c>
      <c r="I50" s="311">
        <f t="shared" si="2"/>
        <v>0</v>
      </c>
      <c r="J50" s="311">
        <f t="shared" si="2"/>
        <v>0</v>
      </c>
      <c r="K50" s="311">
        <f t="shared" si="2"/>
        <v>0</v>
      </c>
      <c r="L50" s="311">
        <f t="shared" si="2"/>
        <v>0</v>
      </c>
      <c r="M50" s="311">
        <f t="shared" si="2"/>
        <v>1.8483344716685186E-4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1.694416484247501E-5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3.2106957245086674E-3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1.8483344716685186E-4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4.706712456243058</v>
      </c>
      <c r="C54" s="21">
        <f t="shared" ref="C54:P54" si="3">(C50)*10^9/3600</f>
        <v>0</v>
      </c>
      <c r="D54" s="21">
        <f t="shared" si="3"/>
        <v>0</v>
      </c>
      <c r="E54" s="21">
        <f t="shared" si="3"/>
        <v>0</v>
      </c>
      <c r="F54" s="21">
        <f t="shared" si="3"/>
        <v>0</v>
      </c>
      <c r="G54" s="21">
        <f t="shared" si="3"/>
        <v>891.8599234746298</v>
      </c>
      <c r="H54" s="21">
        <f t="shared" si="3"/>
        <v>0</v>
      </c>
      <c r="I54" s="21">
        <f t="shared" si="3"/>
        <v>0</v>
      </c>
      <c r="J54" s="21">
        <f t="shared" si="3"/>
        <v>0</v>
      </c>
      <c r="K54" s="21">
        <f t="shared" si="3"/>
        <v>0</v>
      </c>
      <c r="L54" s="21">
        <f t="shared" si="3"/>
        <v>0</v>
      </c>
      <c r="M54" s="21">
        <f t="shared" si="3"/>
        <v>51.34262421301441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0.21146533216092303</v>
      </c>
      <c r="C56" s="56">
        <f ca="1">'EF ele_warmte'!B22</f>
        <v>0.11882352941176472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0.99530651294539219</v>
      </c>
      <c r="C58" s="23">
        <f t="shared" ref="C58:P58" ca="1" si="4">C54*C56</f>
        <v>0</v>
      </c>
      <c r="D58" s="23">
        <f t="shared" si="4"/>
        <v>0</v>
      </c>
      <c r="E58" s="23">
        <f t="shared" si="4"/>
        <v>0</v>
      </c>
      <c r="F58" s="23">
        <f t="shared" si="4"/>
        <v>0</v>
      </c>
      <c r="G58" s="23">
        <f t="shared" si="4"/>
        <v>238.12659956772617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1000.9048454765327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N30</f>
        <v>87.299999999999983</v>
      </c>
      <c r="C8" s="535">
        <f>B49</f>
        <v>51.35294117647058</v>
      </c>
      <c r="D8" s="974"/>
      <c r="E8" s="974">
        <f>E49</f>
        <v>0</v>
      </c>
      <c r="F8" s="975"/>
      <c r="G8" s="536"/>
      <c r="H8" s="974">
        <f>I49</f>
        <v>0</v>
      </c>
      <c r="I8" s="974">
        <f>G49+F49</f>
        <v>0</v>
      </c>
      <c r="J8" s="974">
        <f>H49+D49+C49</f>
        <v>51.35294117647058</v>
      </c>
      <c r="K8" s="974"/>
      <c r="L8" s="974"/>
      <c r="M8" s="974"/>
      <c r="N8" s="537"/>
      <c r="O8" s="538">
        <f>C8*$C$12+D8*$D$12+E8*$E$12+F8*$F$12+G8*$G$12+H8*$H$12+I8*$I$12+J8*$J$12</f>
        <v>10.373294117647058</v>
      </c>
      <c r="P8" s="1218"/>
      <c r="Q8" s="1219"/>
      <c r="S8" s="938"/>
      <c r="T8" s="1193"/>
      <c r="U8" s="1193"/>
    </row>
    <row r="9" spans="1:21" s="524" customFormat="1" ht="17.45" customHeight="1" thickBot="1">
      <c r="A9" s="539" t="s">
        <v>237</v>
      </c>
      <c r="B9" s="540">
        <f>N37+'Eigen informatie GS &amp; warmtenet'!B12</f>
        <v>0</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1088.2048454765327</v>
      </c>
      <c r="C10" s="548">
        <f t="shared" ref="C10:L10" si="0">SUM(C8:C9)</f>
        <v>51.35294117647058</v>
      </c>
      <c r="D10" s="548">
        <f t="shared" si="0"/>
        <v>0</v>
      </c>
      <c r="E10" s="548">
        <f t="shared" si="0"/>
        <v>0</v>
      </c>
      <c r="F10" s="548">
        <f t="shared" si="0"/>
        <v>0</v>
      </c>
      <c r="G10" s="548">
        <f t="shared" si="0"/>
        <v>0</v>
      </c>
      <c r="H10" s="548">
        <f t="shared" si="0"/>
        <v>0</v>
      </c>
      <c r="I10" s="548">
        <f t="shared" si="0"/>
        <v>0</v>
      </c>
      <c r="J10" s="548">
        <f t="shared" si="0"/>
        <v>51.35294117647058</v>
      </c>
      <c r="K10" s="548">
        <f t="shared" si="0"/>
        <v>0</v>
      </c>
      <c r="L10" s="548">
        <f t="shared" si="0"/>
        <v>0</v>
      </c>
      <c r="M10" s="977"/>
      <c r="N10" s="977"/>
      <c r="O10" s="549">
        <f>SUM(O4:O9)</f>
        <v>10.373294117647058</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O30</f>
        <v>124.71428571428569</v>
      </c>
      <c r="C17" s="560">
        <f>B50</f>
        <v>73.361344537815114</v>
      </c>
      <c r="D17" s="561"/>
      <c r="E17" s="561">
        <f>E50</f>
        <v>0</v>
      </c>
      <c r="F17" s="980"/>
      <c r="G17" s="562"/>
      <c r="H17" s="560">
        <f>I50</f>
        <v>0</v>
      </c>
      <c r="I17" s="561">
        <f>G50+F50</f>
        <v>0</v>
      </c>
      <c r="J17" s="561">
        <f>H50+D50+C50</f>
        <v>73.361344537815114</v>
      </c>
      <c r="K17" s="561"/>
      <c r="L17" s="561"/>
      <c r="M17" s="561"/>
      <c r="N17" s="981"/>
      <c r="O17" s="563">
        <f>C17*$C$22+E17*$E$22+H17*$H$22+I17*$I$22+J17*$J$22+D17*$D$22+F17*$F$22+G17*$G$22+K17*$K$22+L17*$L$22</f>
        <v>14.818991596638654</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124.71428571428569</v>
      </c>
      <c r="C20" s="547">
        <f>SUM(C17:C19)</f>
        <v>73.361344537815114</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14.818991596638654</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63.75" hidden="1">
      <c r="A28" s="570"/>
      <c r="B28" s="725">
        <v>11021</v>
      </c>
      <c r="C28" s="725">
        <v>2540</v>
      </c>
      <c r="D28" s="618"/>
      <c r="E28" s="617"/>
      <c r="F28" s="617"/>
      <c r="G28" s="617" t="s">
        <v>904</v>
      </c>
      <c r="H28" s="617" t="s">
        <v>905</v>
      </c>
      <c r="I28" s="617"/>
      <c r="J28" s="724"/>
      <c r="K28" s="724"/>
      <c r="L28" s="617" t="s">
        <v>906</v>
      </c>
      <c r="M28" s="617">
        <v>9.6999999999999993</v>
      </c>
      <c r="N28" s="617">
        <v>43.649999999999991</v>
      </c>
      <c r="O28" s="617">
        <v>62.357142857142847</v>
      </c>
      <c r="P28" s="617">
        <v>124.71428571428569</v>
      </c>
      <c r="Q28" s="617">
        <v>0</v>
      </c>
      <c r="R28" s="617">
        <v>0</v>
      </c>
      <c r="S28" s="617">
        <v>0</v>
      </c>
      <c r="T28" s="617">
        <v>0</v>
      </c>
      <c r="U28" s="617">
        <v>0</v>
      </c>
      <c r="V28" s="617">
        <v>0</v>
      </c>
      <c r="W28" s="617">
        <v>0</v>
      </c>
      <c r="X28" s="617"/>
      <c r="Y28" s="617">
        <v>1600</v>
      </c>
      <c r="Z28" s="617" t="s">
        <v>49</v>
      </c>
      <c r="AA28" s="619" t="s">
        <v>149</v>
      </c>
    </row>
    <row r="29" spans="1:27" s="571" customFormat="1" ht="25.5" hidden="1">
      <c r="A29" s="570"/>
      <c r="B29" s="725">
        <v>11021</v>
      </c>
      <c r="C29" s="725">
        <v>2540</v>
      </c>
      <c r="D29" s="618"/>
      <c r="E29" s="617"/>
      <c r="F29" s="617"/>
      <c r="G29" s="617" t="s">
        <v>904</v>
      </c>
      <c r="H29" s="617" t="s">
        <v>905</v>
      </c>
      <c r="I29" s="617"/>
      <c r="J29" s="724"/>
      <c r="K29" s="724"/>
      <c r="L29" s="617" t="s">
        <v>906</v>
      </c>
      <c r="M29" s="617">
        <v>9.6999999999999993</v>
      </c>
      <c r="N29" s="617">
        <v>43.649999999999991</v>
      </c>
      <c r="O29" s="617">
        <v>62.357142857142847</v>
      </c>
      <c r="P29" s="617">
        <v>0</v>
      </c>
      <c r="Q29" s="617">
        <v>124.71428571428569</v>
      </c>
      <c r="R29" s="617">
        <v>0</v>
      </c>
      <c r="S29" s="617">
        <v>0</v>
      </c>
      <c r="T29" s="617">
        <v>0</v>
      </c>
      <c r="U29" s="617">
        <v>0</v>
      </c>
      <c r="V29" s="617">
        <v>0</v>
      </c>
      <c r="W29" s="617">
        <v>0</v>
      </c>
      <c r="X29" s="617"/>
      <c r="Y29" s="617">
        <v>10</v>
      </c>
      <c r="Z29" s="617" t="s">
        <v>105</v>
      </c>
      <c r="AA29" s="619" t="s">
        <v>105</v>
      </c>
    </row>
    <row r="30" spans="1:27" s="555" customFormat="1" hidden="1">
      <c r="A30" s="573" t="s">
        <v>269</v>
      </c>
      <c r="B30" s="574"/>
      <c r="C30" s="574"/>
      <c r="D30" s="574"/>
      <c r="E30" s="574"/>
      <c r="F30" s="574"/>
      <c r="G30" s="574"/>
      <c r="H30" s="574"/>
      <c r="I30" s="574"/>
      <c r="J30" s="574"/>
      <c r="K30" s="574"/>
      <c r="L30" s="575"/>
      <c r="M30" s="575">
        <f>SUM(M28:M29)</f>
        <v>19.399999999999999</v>
      </c>
      <c r="N30" s="575">
        <f>SUM(N28:N29)</f>
        <v>87.299999999999983</v>
      </c>
      <c r="O30" s="575">
        <f>SUM(O28:O29)</f>
        <v>124.71428571428569</v>
      </c>
      <c r="P30" s="575">
        <f>SUM(P28:P29)</f>
        <v>124.71428571428569</v>
      </c>
      <c r="Q30" s="575">
        <f>SUM(Q28:Q29)</f>
        <v>124.71428571428569</v>
      </c>
      <c r="R30" s="575">
        <f>SUM(R28:R29)</f>
        <v>0</v>
      </c>
      <c r="S30" s="575">
        <f>SUM(S28:S29)</f>
        <v>0</v>
      </c>
      <c r="T30" s="575">
        <f>SUM(T28:T29)</f>
        <v>0</v>
      </c>
      <c r="U30" s="575">
        <f>SUM(U28:U29)</f>
        <v>0</v>
      </c>
      <c r="V30" s="575">
        <f>SUM(V28:V29)</f>
        <v>0</v>
      </c>
      <c r="W30" s="575">
        <f>SUM(W28:W29)</f>
        <v>0</v>
      </c>
      <c r="X30" s="575"/>
      <c r="Y30" s="576"/>
      <c r="Z30" s="576"/>
      <c r="AA30" s="577"/>
    </row>
    <row r="31" spans="1:27" s="555" customFormat="1">
      <c r="A31" s="573" t="s">
        <v>276</v>
      </c>
      <c r="B31" s="574"/>
      <c r="C31" s="574"/>
      <c r="D31" s="574"/>
      <c r="E31" s="574"/>
      <c r="F31" s="574"/>
      <c r="G31" s="574"/>
      <c r="H31" s="574"/>
      <c r="I31" s="574"/>
      <c r="J31" s="574"/>
      <c r="K31" s="574"/>
      <c r="L31" s="575"/>
      <c r="M31" s="575">
        <f>SUMIF($AA$28:$AA$29,"industrie",M28:M29)</f>
        <v>0</v>
      </c>
      <c r="N31" s="575">
        <f>SUMIF($AA$28:$AA$29,"industrie",N28:N29)</f>
        <v>0</v>
      </c>
      <c r="O31" s="575">
        <f>SUMIF($AA$28:$AA$29,"industrie",O28:O29)</f>
        <v>0</v>
      </c>
      <c r="P31" s="575">
        <f>SUMIF($AA$28:$AA$29,"industrie",P28:P29)</f>
        <v>0</v>
      </c>
      <c r="Q31" s="575">
        <f>SUMIF($AA$28:$AA$29,"industrie",Q28:Q29)</f>
        <v>0</v>
      </c>
      <c r="R31" s="575">
        <f>SUMIF($AA$28:$AA$29,"industrie",R28:R29)</f>
        <v>0</v>
      </c>
      <c r="S31" s="575">
        <f>SUMIF($AA$28:$AA$29,"industrie",S28:S29)</f>
        <v>0</v>
      </c>
      <c r="T31" s="575">
        <f>SUMIF($AA$28:$AA$29,"industrie",T28:T29)</f>
        <v>0</v>
      </c>
      <c r="U31" s="575">
        <f>SUMIF($AA$28:$AA$29,"industrie",U28:U29)</f>
        <v>0</v>
      </c>
      <c r="V31" s="575">
        <f>SUMIF($AA$28:$AA$29,"industrie",V28:V29)</f>
        <v>0</v>
      </c>
      <c r="W31" s="575">
        <f>SUMIF($AA$28:$AA$29,"industrie",W28:W29)</f>
        <v>0</v>
      </c>
      <c r="X31" s="575"/>
      <c r="Y31" s="576"/>
      <c r="Z31" s="576"/>
      <c r="AA31" s="577"/>
    </row>
    <row r="32" spans="1:27" s="555" customFormat="1">
      <c r="A32" s="573" t="s">
        <v>277</v>
      </c>
      <c r="B32" s="574"/>
      <c r="C32" s="574"/>
      <c r="D32" s="574"/>
      <c r="E32" s="574"/>
      <c r="F32" s="574"/>
      <c r="G32" s="574"/>
      <c r="H32" s="574"/>
      <c r="I32" s="574"/>
      <c r="J32" s="574"/>
      <c r="K32" s="574"/>
      <c r="L32" s="575"/>
      <c r="M32" s="575">
        <f ca="1">SUMIF($AA$28:AD29,"tertiair",M28:M29)</f>
        <v>9.6999999999999993</v>
      </c>
      <c r="N32" s="575">
        <f ca="1">SUMIF($AA$28:AE29,"tertiair",N28:N29)</f>
        <v>43.649999999999991</v>
      </c>
      <c r="O32" s="575">
        <f ca="1">SUMIF($AA$28:AF29,"tertiair",O28:O29)</f>
        <v>62.357142857142847</v>
      </c>
      <c r="P32" s="575">
        <f ca="1">SUMIF($AA$28:AG29,"tertiair",P28:P29)</f>
        <v>124.71428571428569</v>
      </c>
      <c r="Q32" s="575">
        <f ca="1">SUMIF($AA$28:AH29,"tertiair",Q28:Q29)</f>
        <v>0</v>
      </c>
      <c r="R32" s="575">
        <f ca="1">SUMIF($AA$28:AI29,"tertiair",R28:R29)</f>
        <v>0</v>
      </c>
      <c r="S32" s="575">
        <f ca="1">SUMIF($AA$28:AJ29,"tertiair",S28:S29)</f>
        <v>0</v>
      </c>
      <c r="T32" s="575">
        <f ca="1">SUMIF($AA$28:AK29,"tertiair",T28:T29)</f>
        <v>0</v>
      </c>
      <c r="U32" s="575">
        <f ca="1">SUMIF($AA$28:AL29,"tertiair",U28:U29)</f>
        <v>0</v>
      </c>
      <c r="V32" s="575">
        <f ca="1">SUMIF($AA$28:AM29,"tertiair",V28:V29)</f>
        <v>0</v>
      </c>
      <c r="W32" s="575">
        <f ca="1">SUMIF($AA$28:AN29,"tertiair",W28:W29)</f>
        <v>0</v>
      </c>
      <c r="X32" s="575"/>
      <c r="Y32" s="576"/>
      <c r="Z32" s="576"/>
      <c r="AA32" s="577"/>
    </row>
    <row r="33" spans="1:28" s="555" customFormat="1" ht="15.75" thickBot="1">
      <c r="A33" s="578" t="s">
        <v>278</v>
      </c>
      <c r="B33" s="579"/>
      <c r="C33" s="579"/>
      <c r="D33" s="579"/>
      <c r="E33" s="579"/>
      <c r="F33" s="579"/>
      <c r="G33" s="579"/>
      <c r="H33" s="579"/>
      <c r="I33" s="579"/>
      <c r="J33" s="579"/>
      <c r="K33" s="579"/>
      <c r="L33" s="580"/>
      <c r="M33" s="580">
        <f>SUMIF($AA$28:$AA$29,"landbouw",M28:M29)</f>
        <v>9.6999999999999993</v>
      </c>
      <c r="N33" s="580">
        <f>SUMIF($AA$28:$AA$29,"landbouw",N28:N29)</f>
        <v>43.649999999999991</v>
      </c>
      <c r="O33" s="580">
        <f>SUMIF($AA$28:$AA$29,"landbouw",O28:O29)</f>
        <v>62.357142857142847</v>
      </c>
      <c r="P33" s="580">
        <f>SUMIF($AA$28:$AA$29,"landbouw",P28:P29)</f>
        <v>0</v>
      </c>
      <c r="Q33" s="580">
        <f>SUMIF($AA$28:$AA$29,"landbouw",Q28:Q29)</f>
        <v>124.71428571428569</v>
      </c>
      <c r="R33" s="580">
        <f>SUMIF($AA$28:$AA$29,"landbouw",R28:R29)</f>
        <v>0</v>
      </c>
      <c r="S33" s="580">
        <f>SUMIF($AA$28:$AA$29,"landbouw",S28:S29)</f>
        <v>0</v>
      </c>
      <c r="T33" s="580">
        <f>SUMIF($AA$28:$AA$29,"landbouw",T28:T29)</f>
        <v>0</v>
      </c>
      <c r="U33" s="580">
        <f>SUMIF($AA$28:$AA$29,"landbouw",U28:U29)</f>
        <v>0</v>
      </c>
      <c r="V33" s="580">
        <f>SUMIF($AA$28:$AA$29,"landbouw",V28:V29)</f>
        <v>0</v>
      </c>
      <c r="W33" s="580">
        <f>SUMIF($AA$28:$AA$29,"landbouw",W28:W29)</f>
        <v>0</v>
      </c>
      <c r="X33" s="580"/>
      <c r="Y33" s="581"/>
      <c r="Z33" s="581"/>
      <c r="AA33" s="582"/>
    </row>
    <row r="34" spans="1:28" s="524" customFormat="1" ht="15.75" thickBot="1">
      <c r="A34" s="583"/>
      <c r="B34" s="584"/>
      <c r="C34" s="584"/>
      <c r="D34" s="584"/>
      <c r="E34" s="584"/>
      <c r="F34" s="584"/>
      <c r="G34" s="584"/>
      <c r="H34" s="584"/>
      <c r="I34" s="584"/>
      <c r="J34" s="584"/>
      <c r="K34" s="584"/>
      <c r="L34" s="567"/>
      <c r="M34" s="567"/>
      <c r="N34" s="567"/>
      <c r="O34" s="568"/>
      <c r="P34" s="568"/>
    </row>
    <row r="35" spans="1:28" s="524" customFormat="1" ht="45">
      <c r="A35" s="585" t="s">
        <v>270</v>
      </c>
      <c r="B35" s="614" t="s">
        <v>89</v>
      </c>
      <c r="C35" s="614" t="s">
        <v>90</v>
      </c>
      <c r="D35" s="614"/>
      <c r="E35" s="614"/>
      <c r="F35" s="614"/>
      <c r="G35" s="614" t="s">
        <v>91</v>
      </c>
      <c r="H35" s="614" t="s">
        <v>92</v>
      </c>
      <c r="I35" s="614"/>
      <c r="J35" s="614"/>
      <c r="K35" s="614"/>
      <c r="L35" s="614" t="s">
        <v>93</v>
      </c>
      <c r="M35" s="615" t="s">
        <v>287</v>
      </c>
      <c r="N35" s="615" t="s">
        <v>94</v>
      </c>
      <c r="O35" s="615" t="s">
        <v>95</v>
      </c>
      <c r="P35" s="615" t="s">
        <v>529</v>
      </c>
      <c r="Q35" s="615" t="s">
        <v>96</v>
      </c>
      <c r="R35" s="615" t="s">
        <v>97</v>
      </c>
      <c r="S35" s="615" t="s">
        <v>98</v>
      </c>
      <c r="T35" s="615" t="s">
        <v>99</v>
      </c>
      <c r="U35" s="615" t="s">
        <v>100</v>
      </c>
      <c r="V35" s="615" t="s">
        <v>101</v>
      </c>
      <c r="W35" s="614" t="s">
        <v>102</v>
      </c>
      <c r="X35" s="614" t="s">
        <v>903</v>
      </c>
      <c r="Y35" s="614" t="s">
        <v>288</v>
      </c>
      <c r="Z35" s="614" t="s">
        <v>103</v>
      </c>
      <c r="AA35" s="616" t="s">
        <v>289</v>
      </c>
    </row>
    <row r="36" spans="1:28" s="586" customFormat="1" ht="12.75" hidden="1">
      <c r="A36" s="572"/>
      <c r="B36" s="725"/>
      <c r="C36" s="725"/>
      <c r="D36" s="620"/>
      <c r="E36" s="620"/>
      <c r="F36" s="620"/>
      <c r="G36" s="620"/>
      <c r="H36" s="620"/>
      <c r="I36" s="620"/>
      <c r="J36" s="724"/>
      <c r="K36" s="724"/>
      <c r="L36" s="620"/>
      <c r="M36" s="620"/>
      <c r="N36" s="620"/>
      <c r="O36" s="620"/>
      <c r="P36" s="620"/>
      <c r="Q36" s="620"/>
      <c r="R36" s="620"/>
      <c r="S36" s="620"/>
      <c r="T36" s="620"/>
      <c r="U36" s="620"/>
      <c r="V36" s="620"/>
      <c r="W36" s="620"/>
      <c r="X36" s="620"/>
      <c r="Y36" s="620"/>
      <c r="Z36" s="620"/>
      <c r="AA36" s="621"/>
    </row>
    <row r="37" spans="1:28" s="555" customFormat="1" hidden="1">
      <c r="A37" s="573" t="s">
        <v>269</v>
      </c>
      <c r="B37" s="574"/>
      <c r="C37" s="574"/>
      <c r="D37" s="574"/>
      <c r="E37" s="574"/>
      <c r="F37" s="574"/>
      <c r="G37" s="574"/>
      <c r="H37" s="574"/>
      <c r="I37" s="574"/>
      <c r="J37" s="574"/>
      <c r="K37" s="574"/>
      <c r="L37" s="575"/>
      <c r="M37" s="575">
        <f>SUM(M36:M36)</f>
        <v>0</v>
      </c>
      <c r="N37" s="575">
        <f>SUM(N36:N36)</f>
        <v>0</v>
      </c>
      <c r="O37" s="575">
        <f>SUM(O36:O36)</f>
        <v>0</v>
      </c>
      <c r="P37" s="575">
        <f>SUM(P36:P36)</f>
        <v>0</v>
      </c>
      <c r="Q37" s="575">
        <f>SUM(Q36:Q36)</f>
        <v>0</v>
      </c>
      <c r="R37" s="575">
        <f>SUM(R36:R36)</f>
        <v>0</v>
      </c>
      <c r="S37" s="575">
        <f>SUM(S36:S36)</f>
        <v>0</v>
      </c>
      <c r="T37" s="575">
        <f>SUM(T36:T36)</f>
        <v>0</v>
      </c>
      <c r="U37" s="575">
        <f>SUM(U36:U36)</f>
        <v>0</v>
      </c>
      <c r="V37" s="575">
        <f>SUM(V36:V36)</f>
        <v>0</v>
      </c>
      <c r="W37" s="575">
        <f>SUM(W36:W36)</f>
        <v>0</v>
      </c>
      <c r="X37" s="575"/>
      <c r="Y37" s="576"/>
      <c r="Z37" s="576"/>
      <c r="AA37" s="577"/>
    </row>
    <row r="38" spans="1:28" s="555" customFormat="1">
      <c r="A38" s="573" t="s">
        <v>276</v>
      </c>
      <c r="B38" s="574"/>
      <c r="C38" s="574"/>
      <c r="D38" s="574"/>
      <c r="E38" s="574"/>
      <c r="F38" s="574"/>
      <c r="G38" s="574"/>
      <c r="H38" s="574"/>
      <c r="I38" s="574"/>
      <c r="J38" s="574"/>
      <c r="K38" s="574"/>
      <c r="L38" s="575"/>
      <c r="M38" s="575">
        <f>SUMIF($AA$36:$AA$36,"industrie",M36:M36)</f>
        <v>0</v>
      </c>
      <c r="N38" s="575">
        <f>SUMIF($AA$36:$AA$36,"industrie",N36:N36)</f>
        <v>0</v>
      </c>
      <c r="O38" s="575">
        <f>SUMIF($AA$36:$AA$36,"industrie",O36:O36)</f>
        <v>0</v>
      </c>
      <c r="P38" s="575">
        <f>SUMIF($AA$36:$AA$36,"industrie",P36:P36)</f>
        <v>0</v>
      </c>
      <c r="Q38" s="575">
        <f>SUMIF($AA$36:$AA$36,"industrie",Q36:Q36)</f>
        <v>0</v>
      </c>
      <c r="R38" s="575">
        <f>SUMIF($AA$36:$AA$36,"industrie",R36:R36)</f>
        <v>0</v>
      </c>
      <c r="S38" s="575">
        <f>SUMIF($AA$36:$AA$36,"industrie",S36:S36)</f>
        <v>0</v>
      </c>
      <c r="T38" s="575">
        <f>SUMIF($AA$36:$AA$36,"industrie",T36:T36)</f>
        <v>0</v>
      </c>
      <c r="U38" s="575">
        <f>SUMIF($AA$36:$AA$36,"industrie",U36:U36)</f>
        <v>0</v>
      </c>
      <c r="V38" s="575">
        <f>SUMIF($AA$36:$AA$36,"industrie",V36:V36)</f>
        <v>0</v>
      </c>
      <c r="W38" s="575">
        <f>SUMIF($AA$36:$AA$36,"industrie",W36:W36)</f>
        <v>0</v>
      </c>
      <c r="X38" s="575"/>
      <c r="Y38" s="576"/>
      <c r="Z38" s="576"/>
      <c r="AA38" s="577"/>
    </row>
    <row r="39" spans="1:28" s="555" customFormat="1">
      <c r="A39" s="573" t="s">
        <v>277</v>
      </c>
      <c r="B39" s="574"/>
      <c r="C39" s="574"/>
      <c r="D39" s="574"/>
      <c r="E39" s="574"/>
      <c r="F39" s="574"/>
      <c r="G39" s="574"/>
      <c r="H39" s="574"/>
      <c r="I39" s="574"/>
      <c r="J39" s="574"/>
      <c r="K39" s="574"/>
      <c r="L39" s="575"/>
      <c r="M39" s="575">
        <f>SUMIF($AA$36:$AA$37,"tertiair",M36:M37)</f>
        <v>0</v>
      </c>
      <c r="N39" s="575">
        <f>SUMIF($AA$36:$AA$37,"tertiair",N36:N37)</f>
        <v>0</v>
      </c>
      <c r="O39" s="575">
        <f>SUMIF($AA$36:$AA$37,"tertiair",O36:O37)</f>
        <v>0</v>
      </c>
      <c r="P39" s="575">
        <f>SUMIF($AA$36:$AA$37,"tertiair",P36:P37)</f>
        <v>0</v>
      </c>
      <c r="Q39" s="575">
        <f>SUMIF($AA$36:$AA$37,"tertiair",Q36:Q37)</f>
        <v>0</v>
      </c>
      <c r="R39" s="575">
        <f>SUMIF($AA$36:$AA$37,"tertiair",R36:R37)</f>
        <v>0</v>
      </c>
      <c r="S39" s="575">
        <f>SUMIF($AA$36:$AA$37,"tertiair",S36:S37)</f>
        <v>0</v>
      </c>
      <c r="T39" s="575">
        <f>SUMIF($AA$36:$AA$37,"tertiair",T36:T37)</f>
        <v>0</v>
      </c>
      <c r="U39" s="575">
        <f>SUMIF($AA$36:$AA$37,"tertiair",U36:U37)</f>
        <v>0</v>
      </c>
      <c r="V39" s="575">
        <f>SUMIF($AA$36:$AA$37,"tertiair",V36:V37)</f>
        <v>0</v>
      </c>
      <c r="W39" s="575">
        <f>SUMIF($AA$36:$AA$37,"tertiair",W36:W37)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SUMIF($AA$36:$AA$38,"landbouw",M36:M38)</f>
        <v>0</v>
      </c>
      <c r="N40" s="580">
        <f>SUMIF($AA$36:$AA$38,"landbouw",N36:N38)</f>
        <v>0</v>
      </c>
      <c r="O40" s="580">
        <f>SUMIF($AA$36:$AA$38,"landbouw",O36:O38)</f>
        <v>0</v>
      </c>
      <c r="P40" s="580">
        <f>SUMIF($AA$36:$AA$38,"landbouw",P36:P38)</f>
        <v>0</v>
      </c>
      <c r="Q40" s="580">
        <f>SUMIF($AA$36:$AA$38,"landbouw",Q36:Q38)</f>
        <v>0</v>
      </c>
      <c r="R40" s="580">
        <f>SUMIF($AA$36:$AA$38,"landbouw",R36:R38)</f>
        <v>0</v>
      </c>
      <c r="S40" s="580">
        <f>SUMIF($AA$36:$AA$38,"landbouw",S36:S38)</f>
        <v>0</v>
      </c>
      <c r="T40" s="580">
        <f>SUMIF($AA$36:$AA$38,"landbouw",T36:T38)</f>
        <v>0</v>
      </c>
      <c r="U40" s="580">
        <f>SUMIF($AA$36:$AA$38,"landbouw",U36:U38)</f>
        <v>0</v>
      </c>
      <c r="V40" s="580">
        <f>SUMIF($AA$36:$AA$38,"landbouw",V36:V38)</f>
        <v>0</v>
      </c>
      <c r="W40" s="580">
        <f>SUMIF($AA$36:$AA$38,"landbouw",W36:W38)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IF(ISERROR(O30/(O30+N30)),0,O30/(O30+N30))</f>
        <v>0.58823529411764708</v>
      </c>
      <c r="C46" s="600">
        <f>IF(ISERROR(N30/(O30+N30)),0,N30/(N30+O30))</f>
        <v>0.41176470588235292</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$C$46*P30</f>
        <v>51.35294117647058</v>
      </c>
      <c r="C49" s="609">
        <f t="shared" si="2"/>
        <v>51.35294117647058</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$B$46*P30</f>
        <v>73.361344537815114</v>
      </c>
      <c r="C50" s="612">
        <f t="shared" si="3"/>
        <v>73.361344537815114</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8028.9274000000005</v>
      </c>
      <c r="D10" s="943">
        <f ca="1">tertiair!C16</f>
        <v>62.357142857142847</v>
      </c>
      <c r="E10" s="943">
        <f ca="1">tertiair!D16</f>
        <v>10014.186225199084</v>
      </c>
      <c r="F10" s="943">
        <f>tertiair!E16</f>
        <v>79.291255885413364</v>
      </c>
      <c r="G10" s="943">
        <f ca="1">tertiair!F16</f>
        <v>1428.8426514563025</v>
      </c>
      <c r="H10" s="943">
        <f>tertiair!G16</f>
        <v>0</v>
      </c>
      <c r="I10" s="943">
        <f>tertiair!H16</f>
        <v>0</v>
      </c>
      <c r="J10" s="943">
        <f>tertiair!I16</f>
        <v>0</v>
      </c>
      <c r="K10" s="943">
        <f>tertiair!J16</f>
        <v>0</v>
      </c>
      <c r="L10" s="943">
        <f>tertiair!K16</f>
        <v>0</v>
      </c>
      <c r="M10" s="943">
        <f ca="1">tertiair!L16</f>
        <v>0</v>
      </c>
      <c r="N10" s="943">
        <f>tertiair!M16</f>
        <v>0</v>
      </c>
      <c r="O10" s="943">
        <f ca="1">tertiair!N16</f>
        <v>348.98547365208327</v>
      </c>
      <c r="P10" s="943">
        <f>tertiair!O16</f>
        <v>1.5633333333333335</v>
      </c>
      <c r="Q10" s="944">
        <f>tertiair!P16</f>
        <v>0</v>
      </c>
      <c r="R10" s="629">
        <f ca="1">SUM(C10:Q10)</f>
        <v>19964.153482383361</v>
      </c>
      <c r="S10" s="67"/>
    </row>
    <row r="11" spans="1:19" s="438" customFormat="1">
      <c r="A11" s="737" t="s">
        <v>214</v>
      </c>
      <c r="B11" s="742"/>
      <c r="C11" s="943">
        <f>huishoudens!B8</f>
        <v>14407.942845476533</v>
      </c>
      <c r="D11" s="943">
        <f>huishoudens!C8</f>
        <v>0</v>
      </c>
      <c r="E11" s="943">
        <f>huishoudens!D8</f>
        <v>42627.358234082916</v>
      </c>
      <c r="F11" s="943">
        <f>huishoudens!E8</f>
        <v>345.15813308800938</v>
      </c>
      <c r="G11" s="943">
        <f>huishoudens!F8</f>
        <v>10888.662272758782</v>
      </c>
      <c r="H11" s="943">
        <f>huishoudens!G8</f>
        <v>0</v>
      </c>
      <c r="I11" s="943">
        <f>huishoudens!H8</f>
        <v>0</v>
      </c>
      <c r="J11" s="943">
        <f>huishoudens!I8</f>
        <v>0</v>
      </c>
      <c r="K11" s="943">
        <f>huishoudens!J8</f>
        <v>253.92319286613645</v>
      </c>
      <c r="L11" s="943">
        <f>huishoudens!K8</f>
        <v>0</v>
      </c>
      <c r="M11" s="943">
        <f>huishoudens!L8</f>
        <v>0</v>
      </c>
      <c r="N11" s="943">
        <f>huishoudens!M8</f>
        <v>0</v>
      </c>
      <c r="O11" s="943">
        <f>huishoudens!N8</f>
        <v>3473.696195796646</v>
      </c>
      <c r="P11" s="943">
        <f>huishoudens!O8</f>
        <v>89.11</v>
      </c>
      <c r="Q11" s="944">
        <f>huishoudens!P8</f>
        <v>1296.5333333333333</v>
      </c>
      <c r="R11" s="629">
        <f>SUM(C11:Q11)</f>
        <v>73382.384207402356</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986.86009999999999</v>
      </c>
      <c r="D13" s="943">
        <f>industrie!C18</f>
        <v>0</v>
      </c>
      <c r="E13" s="943">
        <f>industrie!D18</f>
        <v>1328.6670385889317</v>
      </c>
      <c r="F13" s="943">
        <f>industrie!E18</f>
        <v>60.732488747828697</v>
      </c>
      <c r="G13" s="943">
        <f>industrie!F18</f>
        <v>1356.551479188314</v>
      </c>
      <c r="H13" s="943">
        <f>industrie!G18</f>
        <v>0</v>
      </c>
      <c r="I13" s="943">
        <f>industrie!H18</f>
        <v>0</v>
      </c>
      <c r="J13" s="943">
        <f>industrie!I18</f>
        <v>0</v>
      </c>
      <c r="K13" s="943">
        <f>industrie!J18</f>
        <v>15.841706598552232</v>
      </c>
      <c r="L13" s="943">
        <f>industrie!K18</f>
        <v>0</v>
      </c>
      <c r="M13" s="943">
        <f>industrie!L18</f>
        <v>0</v>
      </c>
      <c r="N13" s="943">
        <f>industrie!M18</f>
        <v>0</v>
      </c>
      <c r="O13" s="943">
        <f>industrie!N18</f>
        <v>354.31039761797945</v>
      </c>
      <c r="P13" s="943">
        <f>industrie!O18</f>
        <v>0</v>
      </c>
      <c r="Q13" s="944">
        <f>industrie!P18</f>
        <v>0</v>
      </c>
      <c r="R13" s="629">
        <f>SUM(C13:Q13)</f>
        <v>4102.9632107416055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23423.730345476535</v>
      </c>
      <c r="D16" s="661">
        <f t="shared" ref="D16:R16" ca="1" si="0">SUM(D9:D15)</f>
        <v>62.357142857142847</v>
      </c>
      <c r="E16" s="661">
        <f t="shared" ca="1" si="0"/>
        <v>53970.211497870929</v>
      </c>
      <c r="F16" s="661">
        <f t="shared" si="0"/>
        <v>485.18187772125145</v>
      </c>
      <c r="G16" s="661">
        <f t="shared" ca="1" si="0"/>
        <v>13674.0564034034</v>
      </c>
      <c r="H16" s="661">
        <f t="shared" si="0"/>
        <v>0</v>
      </c>
      <c r="I16" s="661">
        <f t="shared" si="0"/>
        <v>0</v>
      </c>
      <c r="J16" s="661">
        <f t="shared" si="0"/>
        <v>0</v>
      </c>
      <c r="K16" s="661">
        <f t="shared" si="0"/>
        <v>269.76489946468865</v>
      </c>
      <c r="L16" s="661">
        <f t="shared" si="0"/>
        <v>0</v>
      </c>
      <c r="M16" s="661">
        <f t="shared" ca="1" si="0"/>
        <v>0</v>
      </c>
      <c r="N16" s="661">
        <f t="shared" si="0"/>
        <v>0</v>
      </c>
      <c r="O16" s="661">
        <f t="shared" ca="1" si="0"/>
        <v>4176.9920670667088</v>
      </c>
      <c r="P16" s="661">
        <f t="shared" si="0"/>
        <v>90.673333333333332</v>
      </c>
      <c r="Q16" s="661">
        <f t="shared" si="0"/>
        <v>1296.5333333333333</v>
      </c>
      <c r="R16" s="661">
        <f t="shared" ca="1" si="0"/>
        <v>97449.500900527331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4.706712456243058</v>
      </c>
      <c r="D19" s="943">
        <f>transport!C54</f>
        <v>0</v>
      </c>
      <c r="E19" s="943">
        <f>transport!D54</f>
        <v>0</v>
      </c>
      <c r="F19" s="943">
        <f>transport!E54</f>
        <v>0</v>
      </c>
      <c r="G19" s="943">
        <f>transport!F54</f>
        <v>0</v>
      </c>
      <c r="H19" s="943">
        <f>transport!G54</f>
        <v>891.8599234746298</v>
      </c>
      <c r="I19" s="943">
        <f>transport!H54</f>
        <v>0</v>
      </c>
      <c r="J19" s="943">
        <f>transport!I54</f>
        <v>0</v>
      </c>
      <c r="K19" s="943">
        <f>transport!J54</f>
        <v>0</v>
      </c>
      <c r="L19" s="943">
        <f>transport!K54</f>
        <v>0</v>
      </c>
      <c r="M19" s="943">
        <f>transport!L54</f>
        <v>0</v>
      </c>
      <c r="N19" s="943">
        <f>transport!M54</f>
        <v>51.34262421301441</v>
      </c>
      <c r="O19" s="943">
        <f>transport!N54</f>
        <v>0</v>
      </c>
      <c r="P19" s="943">
        <f>transport!O54</f>
        <v>0</v>
      </c>
      <c r="Q19" s="944">
        <f>transport!P54</f>
        <v>0</v>
      </c>
      <c r="R19" s="629">
        <f>SUM(C19:Q19)</f>
        <v>947.90926014388731</v>
      </c>
      <c r="S19" s="67"/>
    </row>
    <row r="20" spans="1:19" s="438" customFormat="1">
      <c r="A20" s="737" t="s">
        <v>296</v>
      </c>
      <c r="B20" s="742"/>
      <c r="C20" s="943">
        <f>transport!B14</f>
        <v>2.6056760173446709</v>
      </c>
      <c r="D20" s="943">
        <f>transport!C14</f>
        <v>0</v>
      </c>
      <c r="E20" s="943">
        <f>transport!D14</f>
        <v>4.3330237064414634</v>
      </c>
      <c r="F20" s="943">
        <f>transport!E14</f>
        <v>41.698521347226752</v>
      </c>
      <c r="G20" s="943">
        <f>transport!F14</f>
        <v>0</v>
      </c>
      <c r="H20" s="943">
        <f>transport!G14</f>
        <v>10756.573252140346</v>
      </c>
      <c r="I20" s="943">
        <f>transport!H14</f>
        <v>2647.5255138457596</v>
      </c>
      <c r="J20" s="943">
        <f>transport!I14</f>
        <v>0</v>
      </c>
      <c r="K20" s="943">
        <f>transport!J14</f>
        <v>0</v>
      </c>
      <c r="L20" s="943">
        <f>transport!K14</f>
        <v>0</v>
      </c>
      <c r="M20" s="943">
        <f>transport!L14</f>
        <v>0</v>
      </c>
      <c r="N20" s="943">
        <f>transport!M14</f>
        <v>704.39260348027676</v>
      </c>
      <c r="O20" s="943">
        <f>transport!N14</f>
        <v>0</v>
      </c>
      <c r="P20" s="943">
        <f>transport!O14</f>
        <v>0</v>
      </c>
      <c r="Q20" s="944">
        <f>transport!P14</f>
        <v>0</v>
      </c>
      <c r="R20" s="629">
        <f>SUM(C20:Q20)</f>
        <v>14157.128590537395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7.3123884735877294</v>
      </c>
      <c r="D22" s="740">
        <f t="shared" ref="D22:R22" si="1">SUM(D18:D21)</f>
        <v>0</v>
      </c>
      <c r="E22" s="740">
        <f t="shared" si="1"/>
        <v>4.3330237064414634</v>
      </c>
      <c r="F22" s="740">
        <f t="shared" si="1"/>
        <v>41.698521347226752</v>
      </c>
      <c r="G22" s="740">
        <f t="shared" si="1"/>
        <v>0</v>
      </c>
      <c r="H22" s="740">
        <f t="shared" si="1"/>
        <v>11648.433175614977</v>
      </c>
      <c r="I22" s="740">
        <f t="shared" si="1"/>
        <v>2647.5255138457596</v>
      </c>
      <c r="J22" s="740">
        <f t="shared" si="1"/>
        <v>0</v>
      </c>
      <c r="K22" s="740">
        <f t="shared" si="1"/>
        <v>0</v>
      </c>
      <c r="L22" s="740">
        <f t="shared" si="1"/>
        <v>0</v>
      </c>
      <c r="M22" s="740">
        <f t="shared" si="1"/>
        <v>0</v>
      </c>
      <c r="N22" s="740">
        <f t="shared" si="1"/>
        <v>755.73522769329122</v>
      </c>
      <c r="O22" s="740">
        <f t="shared" si="1"/>
        <v>0</v>
      </c>
      <c r="P22" s="740">
        <f t="shared" si="1"/>
        <v>0</v>
      </c>
      <c r="Q22" s="740">
        <f t="shared" si="1"/>
        <v>0</v>
      </c>
      <c r="R22" s="740">
        <f t="shared" si="1"/>
        <v>15105.037850681283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227.02516</v>
      </c>
      <c r="D24" s="943">
        <f>+landbouw!C8</f>
        <v>62.357142857142847</v>
      </c>
      <c r="E24" s="943">
        <f>+landbouw!D8</f>
        <v>47.564883844330701</v>
      </c>
      <c r="F24" s="943">
        <f>+landbouw!E8</f>
        <v>4.8682229622990238</v>
      </c>
      <c r="G24" s="943">
        <f>+landbouw!F8</f>
        <v>736.39687247690279</v>
      </c>
      <c r="H24" s="943">
        <f>+landbouw!G8</f>
        <v>0</v>
      </c>
      <c r="I24" s="943">
        <f>+landbouw!H8</f>
        <v>0</v>
      </c>
      <c r="J24" s="943">
        <f>+landbouw!I8</f>
        <v>0</v>
      </c>
      <c r="K24" s="943">
        <f>+landbouw!J8</f>
        <v>21.873994144347975</v>
      </c>
      <c r="L24" s="943">
        <f>+landbouw!K8</f>
        <v>0</v>
      </c>
      <c r="M24" s="943">
        <f>+landbouw!L8</f>
        <v>0</v>
      </c>
      <c r="N24" s="943">
        <f>+landbouw!M8</f>
        <v>0</v>
      </c>
      <c r="O24" s="943">
        <f>+landbouw!N8</f>
        <v>0</v>
      </c>
      <c r="P24" s="943">
        <f>+landbouw!O8</f>
        <v>0</v>
      </c>
      <c r="Q24" s="944">
        <f>+landbouw!P8</f>
        <v>0</v>
      </c>
      <c r="R24" s="629">
        <f>SUM(C24:Q24)</f>
        <v>1100.0862762850234</v>
      </c>
      <c r="S24" s="67"/>
    </row>
    <row r="25" spans="1:19" s="438" customFormat="1" ht="15" thickBot="1">
      <c r="A25" s="759" t="s">
        <v>802</v>
      </c>
      <c r="B25" s="946"/>
      <c r="C25" s="947">
        <f>IF(Onbekend_ele_kWh="---",0,Onbekend_ele_kWh)/1000+IF(REST_rest_ele_kWh="---",0,REST_rest_ele_kWh)/1000</f>
        <v>477.0127</v>
      </c>
      <c r="D25" s="947"/>
      <c r="E25" s="947">
        <f>IF(onbekend_gas_kWh="---",0,onbekend_gas_kWh)/1000+IF(REST_rest_gas_kWh="---",0,REST_rest_gas_kWh)/1000</f>
        <v>1545.46715865741</v>
      </c>
      <c r="F25" s="947"/>
      <c r="G25" s="947"/>
      <c r="H25" s="947"/>
      <c r="I25" s="947"/>
      <c r="J25" s="947"/>
      <c r="K25" s="947"/>
      <c r="L25" s="947"/>
      <c r="M25" s="947"/>
      <c r="N25" s="947"/>
      <c r="O25" s="947"/>
      <c r="P25" s="947"/>
      <c r="Q25" s="948"/>
      <c r="R25" s="629">
        <f>SUM(C25:Q25)</f>
        <v>2022.47985865741</v>
      </c>
      <c r="S25" s="67"/>
    </row>
    <row r="26" spans="1:19" s="438" customFormat="1" ht="15.75" thickBot="1">
      <c r="A26" s="634" t="s">
        <v>803</v>
      </c>
      <c r="B26" s="745"/>
      <c r="C26" s="740">
        <f>SUM(C24:C25)</f>
        <v>704.03786000000002</v>
      </c>
      <c r="D26" s="740">
        <f t="shared" ref="D26:R26" si="2">SUM(D24:D25)</f>
        <v>62.357142857142847</v>
      </c>
      <c r="E26" s="740">
        <f t="shared" si="2"/>
        <v>1593.0320425017408</v>
      </c>
      <c r="F26" s="740">
        <f t="shared" si="2"/>
        <v>4.8682229622990238</v>
      </c>
      <c r="G26" s="740">
        <f t="shared" si="2"/>
        <v>736.39687247690279</v>
      </c>
      <c r="H26" s="740">
        <f t="shared" si="2"/>
        <v>0</v>
      </c>
      <c r="I26" s="740">
        <f t="shared" si="2"/>
        <v>0</v>
      </c>
      <c r="J26" s="740">
        <f t="shared" si="2"/>
        <v>0</v>
      </c>
      <c r="K26" s="740">
        <f t="shared" si="2"/>
        <v>21.873994144347975</v>
      </c>
      <c r="L26" s="740">
        <f t="shared" si="2"/>
        <v>0</v>
      </c>
      <c r="M26" s="740">
        <f t="shared" si="2"/>
        <v>0</v>
      </c>
      <c r="N26" s="740">
        <f t="shared" si="2"/>
        <v>0</v>
      </c>
      <c r="O26" s="740">
        <f t="shared" si="2"/>
        <v>0</v>
      </c>
      <c r="P26" s="740">
        <f t="shared" si="2"/>
        <v>0</v>
      </c>
      <c r="Q26" s="740">
        <f t="shared" si="2"/>
        <v>0</v>
      </c>
      <c r="R26" s="740">
        <f t="shared" si="2"/>
        <v>3122.5661349424336</v>
      </c>
      <c r="S26" s="67"/>
    </row>
    <row r="27" spans="1:19" s="438" customFormat="1" ht="17.25" thickTop="1" thickBot="1">
      <c r="A27" s="635" t="s">
        <v>109</v>
      </c>
      <c r="B27" s="733"/>
      <c r="C27" s="636">
        <f ca="1">C22+C16+C26</f>
        <v>24135.080593950122</v>
      </c>
      <c r="D27" s="636">
        <f t="shared" ref="D27:R27" ca="1" si="3">D22+D16+D26</f>
        <v>124.71428571428569</v>
      </c>
      <c r="E27" s="636">
        <f t="shared" ca="1" si="3"/>
        <v>55567.576564079114</v>
      </c>
      <c r="F27" s="636">
        <f t="shared" si="3"/>
        <v>531.74862203077726</v>
      </c>
      <c r="G27" s="636">
        <f t="shared" ca="1" si="3"/>
        <v>14410.453275880302</v>
      </c>
      <c r="H27" s="636">
        <f t="shared" si="3"/>
        <v>11648.433175614977</v>
      </c>
      <c r="I27" s="636">
        <f t="shared" si="3"/>
        <v>2647.5255138457596</v>
      </c>
      <c r="J27" s="636">
        <f t="shared" si="3"/>
        <v>0</v>
      </c>
      <c r="K27" s="636">
        <f t="shared" si="3"/>
        <v>291.63889360903664</v>
      </c>
      <c r="L27" s="636">
        <f t="shared" si="3"/>
        <v>0</v>
      </c>
      <c r="M27" s="636">
        <f t="shared" ca="1" si="3"/>
        <v>0</v>
      </c>
      <c r="N27" s="636">
        <f t="shared" si="3"/>
        <v>755.73522769329122</v>
      </c>
      <c r="O27" s="636">
        <f t="shared" ca="1" si="3"/>
        <v>4176.9920670667088</v>
      </c>
      <c r="P27" s="636">
        <f t="shared" si="3"/>
        <v>90.673333333333332</v>
      </c>
      <c r="Q27" s="636">
        <f t="shared" si="3"/>
        <v>1296.5333333333333</v>
      </c>
      <c r="R27" s="636">
        <f t="shared" ca="1" si="3"/>
        <v>115677.10488615105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1697.8397995369362</v>
      </c>
      <c r="D40" s="943">
        <f ca="1">tertiair!C20</f>
        <v>7.4094957983193268</v>
      </c>
      <c r="E40" s="943">
        <f ca="1">tertiair!D20</f>
        <v>2022.8656174902151</v>
      </c>
      <c r="F40" s="943">
        <f>tertiair!E20</f>
        <v>17.999115085988834</v>
      </c>
      <c r="G40" s="943">
        <f ca="1">tertiair!F20</f>
        <v>381.50098793883279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4127.6150158502924</v>
      </c>
    </row>
    <row r="41" spans="1:18">
      <c r="A41" s="750" t="s">
        <v>214</v>
      </c>
      <c r="B41" s="757"/>
      <c r="C41" s="943">
        <f ca="1">huishoudens!B12</f>
        <v>3046.7804195742897</v>
      </c>
      <c r="D41" s="943">
        <f ca="1">huishoudens!C12</f>
        <v>0</v>
      </c>
      <c r="E41" s="943">
        <f>huishoudens!D12</f>
        <v>8610.7263632847498</v>
      </c>
      <c r="F41" s="943">
        <f>huishoudens!E12</f>
        <v>78.350896210978135</v>
      </c>
      <c r="G41" s="943">
        <f>huishoudens!F12</f>
        <v>2907.2728268265951</v>
      </c>
      <c r="H41" s="943">
        <f>huishoudens!G12</f>
        <v>0</v>
      </c>
      <c r="I41" s="943">
        <f>huishoudens!H12</f>
        <v>0</v>
      </c>
      <c r="J41" s="943">
        <f>huishoudens!I12</f>
        <v>0</v>
      </c>
      <c r="K41" s="943">
        <f>huishoudens!J12</f>
        <v>89.888810274612297</v>
      </c>
      <c r="L41" s="943">
        <f>huishoudens!K12</f>
        <v>0</v>
      </c>
      <c r="M41" s="943">
        <f>huishoudens!L12</f>
        <v>0</v>
      </c>
      <c r="N41" s="943">
        <f>huishoudens!M12</f>
        <v>0</v>
      </c>
      <c r="O41" s="943">
        <f>huishoudens!N12</f>
        <v>0</v>
      </c>
      <c r="P41" s="943">
        <f>huishoudens!O12</f>
        <v>0</v>
      </c>
      <c r="Q41" s="703">
        <f>huishoudens!P12</f>
        <v>0</v>
      </c>
      <c r="R41" s="778">
        <f t="shared" ca="1" si="4"/>
        <v>14733.019316171223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208.68669884286172</v>
      </c>
      <c r="D43" s="943">
        <f ca="1">industrie!C22</f>
        <v>0</v>
      </c>
      <c r="E43" s="943">
        <f>industrie!D22</f>
        <v>268.39074179496424</v>
      </c>
      <c r="F43" s="943">
        <f>industrie!E22</f>
        <v>13.786274945757114</v>
      </c>
      <c r="G43" s="943">
        <f>industrie!F22</f>
        <v>362.19924494327989</v>
      </c>
      <c r="H43" s="943">
        <f>industrie!G22</f>
        <v>0</v>
      </c>
      <c r="I43" s="943">
        <f>industrie!H22</f>
        <v>0</v>
      </c>
      <c r="J43" s="943">
        <f>industrie!I22</f>
        <v>0</v>
      </c>
      <c r="K43" s="943">
        <f>industrie!J22</f>
        <v>5.6079641358874897</v>
      </c>
      <c r="L43" s="943">
        <f>industrie!K22</f>
        <v>0</v>
      </c>
      <c r="M43" s="943">
        <f>industrie!L22</f>
        <v>0</v>
      </c>
      <c r="N43" s="943">
        <f>industrie!M22</f>
        <v>0</v>
      </c>
      <c r="O43" s="943">
        <f>industrie!N22</f>
        <v>0</v>
      </c>
      <c r="P43" s="943">
        <f>industrie!O22</f>
        <v>0</v>
      </c>
      <c r="Q43" s="703">
        <f>industrie!P22</f>
        <v>0</v>
      </c>
      <c r="R43" s="777">
        <f t="shared" ca="1" si="4"/>
        <v>858.67092466275051</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4953.306917954088</v>
      </c>
      <c r="D46" s="661">
        <f t="shared" ref="D46:Q46" ca="1" si="5">SUM(D39:D45)</f>
        <v>7.4094957983193268</v>
      </c>
      <c r="E46" s="661">
        <f t="shared" ca="1" si="5"/>
        <v>10901.98272256993</v>
      </c>
      <c r="F46" s="661">
        <f t="shared" si="5"/>
        <v>110.13628624272408</v>
      </c>
      <c r="G46" s="661">
        <f t="shared" ca="1" si="5"/>
        <v>3650.9730597087078</v>
      </c>
      <c r="H46" s="661">
        <f t="shared" si="5"/>
        <v>0</v>
      </c>
      <c r="I46" s="661">
        <f t="shared" si="5"/>
        <v>0</v>
      </c>
      <c r="J46" s="661">
        <f t="shared" si="5"/>
        <v>0</v>
      </c>
      <c r="K46" s="661">
        <f t="shared" si="5"/>
        <v>95.496774410499782</v>
      </c>
      <c r="L46" s="661">
        <f t="shared" si="5"/>
        <v>0</v>
      </c>
      <c r="M46" s="661">
        <f t="shared" ca="1" si="5"/>
        <v>0</v>
      </c>
      <c r="N46" s="661">
        <f t="shared" si="5"/>
        <v>0</v>
      </c>
      <c r="O46" s="661">
        <f t="shared" ca="1" si="5"/>
        <v>0</v>
      </c>
      <c r="P46" s="661">
        <f t="shared" si="5"/>
        <v>0</v>
      </c>
      <c r="Q46" s="661">
        <f t="shared" si="5"/>
        <v>0</v>
      </c>
      <c r="R46" s="661">
        <f ca="1">SUM(R39:R45)</f>
        <v>19719.305256684267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0.99530651294539219</v>
      </c>
      <c r="D49" s="943">
        <f ca="1">transport!C58</f>
        <v>0</v>
      </c>
      <c r="E49" s="943">
        <f>transport!D58</f>
        <v>0</v>
      </c>
      <c r="F49" s="943">
        <f>transport!E58</f>
        <v>0</v>
      </c>
      <c r="G49" s="943">
        <f>transport!F58</f>
        <v>0</v>
      </c>
      <c r="H49" s="943">
        <f>transport!G58</f>
        <v>238.12659956772617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239.12190608067158</v>
      </c>
    </row>
    <row r="50" spans="1:18">
      <c r="A50" s="753" t="s">
        <v>296</v>
      </c>
      <c r="B50" s="763"/>
      <c r="C50" s="632">
        <f ca="1">transport!B18</f>
        <v>0.55101014451154184</v>
      </c>
      <c r="D50" s="632">
        <f>transport!C18</f>
        <v>0</v>
      </c>
      <c r="E50" s="632">
        <f>transport!D18</f>
        <v>0.87527078870117569</v>
      </c>
      <c r="F50" s="632">
        <f>transport!E18</f>
        <v>9.4655643458204732</v>
      </c>
      <c r="G50" s="632">
        <f>transport!F18</f>
        <v>0</v>
      </c>
      <c r="H50" s="632">
        <f>transport!G18</f>
        <v>2872.0050583214725</v>
      </c>
      <c r="I50" s="632">
        <f>transport!H18</f>
        <v>659.23385294759419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3542.1307565480997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1.546316657456934</v>
      </c>
      <c r="D52" s="661">
        <f t="shared" ref="D52:Q52" ca="1" si="6">SUM(D48:D51)</f>
        <v>0</v>
      </c>
      <c r="E52" s="661">
        <f t="shared" si="6"/>
        <v>0.87527078870117569</v>
      </c>
      <c r="F52" s="661">
        <f t="shared" si="6"/>
        <v>9.4655643458204732</v>
      </c>
      <c r="G52" s="661">
        <f t="shared" si="6"/>
        <v>0</v>
      </c>
      <c r="H52" s="661">
        <f t="shared" si="6"/>
        <v>3110.1316578891988</v>
      </c>
      <c r="I52" s="661">
        <f t="shared" si="6"/>
        <v>659.23385294759419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3781.2526626287713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48.007950868286699</v>
      </c>
      <c r="D54" s="632">
        <f ca="1">+landbouw!C12</f>
        <v>7.4094957983193268</v>
      </c>
      <c r="E54" s="632">
        <f>+landbouw!D12</f>
        <v>9.6081065365548017</v>
      </c>
      <c r="F54" s="632">
        <f>+landbouw!E12</f>
        <v>1.1050866124418786</v>
      </c>
      <c r="G54" s="632">
        <f>+landbouw!F12</f>
        <v>196.61796495133305</v>
      </c>
      <c r="H54" s="632">
        <f>+landbouw!G12</f>
        <v>0</v>
      </c>
      <c r="I54" s="632">
        <f>+landbouw!H12</f>
        <v>0</v>
      </c>
      <c r="J54" s="632">
        <f>+landbouw!I12</f>
        <v>0</v>
      </c>
      <c r="K54" s="632">
        <f>+landbouw!J12</f>
        <v>7.7433939270991825</v>
      </c>
      <c r="L54" s="632">
        <f>+landbouw!K12</f>
        <v>0</v>
      </c>
      <c r="M54" s="632">
        <f>+landbouw!L12</f>
        <v>0</v>
      </c>
      <c r="N54" s="632">
        <f>+landbouw!M12</f>
        <v>0</v>
      </c>
      <c r="O54" s="632">
        <f>+landbouw!N12</f>
        <v>0</v>
      </c>
      <c r="P54" s="632">
        <f>+landbouw!O12</f>
        <v>0</v>
      </c>
      <c r="Q54" s="633">
        <f>+landbouw!P12</f>
        <v>0</v>
      </c>
      <c r="R54" s="660">
        <f ca="1">SUM(C54:Q54)</f>
        <v>270.49199869403492</v>
      </c>
    </row>
    <row r="55" spans="1:18" ht="15" thickBot="1">
      <c r="A55" s="753" t="s">
        <v>802</v>
      </c>
      <c r="B55" s="763"/>
      <c r="C55" s="632">
        <f ca="1">C25*'EF ele_warmte'!B12</f>
        <v>100.87164905047872</v>
      </c>
      <c r="D55" s="632"/>
      <c r="E55" s="632">
        <f>E25*EF_CO2_aardgas</f>
        <v>312.18436604879685</v>
      </c>
      <c r="F55" s="632"/>
      <c r="G55" s="632"/>
      <c r="H55" s="632"/>
      <c r="I55" s="632"/>
      <c r="J55" s="632"/>
      <c r="K55" s="632"/>
      <c r="L55" s="632"/>
      <c r="M55" s="632"/>
      <c r="N55" s="632"/>
      <c r="O55" s="632"/>
      <c r="P55" s="632"/>
      <c r="Q55" s="633"/>
      <c r="R55" s="660">
        <f ca="1">SUM(C55:Q55)</f>
        <v>413.05601509927556</v>
      </c>
    </row>
    <row r="56" spans="1:18" ht="15.75" thickBot="1">
      <c r="A56" s="751" t="s">
        <v>803</v>
      </c>
      <c r="B56" s="764"/>
      <c r="C56" s="661">
        <f ca="1">SUM(C54:C55)</f>
        <v>148.87959991876542</v>
      </c>
      <c r="D56" s="661">
        <f t="shared" ref="D56:Q56" ca="1" si="7">SUM(D54:D55)</f>
        <v>7.4094957983193268</v>
      </c>
      <c r="E56" s="661">
        <f t="shared" si="7"/>
        <v>321.79247258535167</v>
      </c>
      <c r="F56" s="661">
        <f t="shared" si="7"/>
        <v>1.1050866124418786</v>
      </c>
      <c r="G56" s="661">
        <f t="shared" si="7"/>
        <v>196.61796495133305</v>
      </c>
      <c r="H56" s="661">
        <f t="shared" si="7"/>
        <v>0</v>
      </c>
      <c r="I56" s="661">
        <f t="shared" si="7"/>
        <v>0</v>
      </c>
      <c r="J56" s="661">
        <f t="shared" si="7"/>
        <v>0</v>
      </c>
      <c r="K56" s="661">
        <f t="shared" si="7"/>
        <v>7.7433939270991825</v>
      </c>
      <c r="L56" s="661">
        <f t="shared" si="7"/>
        <v>0</v>
      </c>
      <c r="M56" s="661">
        <f t="shared" si="7"/>
        <v>0</v>
      </c>
      <c r="N56" s="661">
        <f t="shared" si="7"/>
        <v>0</v>
      </c>
      <c r="O56" s="661">
        <f t="shared" si="7"/>
        <v>0</v>
      </c>
      <c r="P56" s="661">
        <f t="shared" si="7"/>
        <v>0</v>
      </c>
      <c r="Q56" s="662">
        <f t="shared" si="7"/>
        <v>0</v>
      </c>
      <c r="R56" s="663">
        <f ca="1">SUM(R54:R55)</f>
        <v>683.54801379331047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5103.7328345303104</v>
      </c>
      <c r="D61" s="669">
        <f t="shared" ref="D61:Q61" ca="1" si="8">D46+D52+D56</f>
        <v>14.818991596638654</v>
      </c>
      <c r="E61" s="669">
        <f t="shared" ca="1" si="8"/>
        <v>11224.650465943983</v>
      </c>
      <c r="F61" s="669">
        <f t="shared" si="8"/>
        <v>120.70693720098643</v>
      </c>
      <c r="G61" s="669">
        <f t="shared" ca="1" si="8"/>
        <v>3847.5910246600406</v>
      </c>
      <c r="H61" s="669">
        <f t="shared" si="8"/>
        <v>3110.1316578891988</v>
      </c>
      <c r="I61" s="669">
        <f t="shared" si="8"/>
        <v>659.23385294759419</v>
      </c>
      <c r="J61" s="669">
        <f t="shared" si="8"/>
        <v>0</v>
      </c>
      <c r="K61" s="669">
        <f t="shared" si="8"/>
        <v>103.24016833759896</v>
      </c>
      <c r="L61" s="669">
        <f t="shared" si="8"/>
        <v>0</v>
      </c>
      <c r="M61" s="669">
        <f t="shared" ca="1" si="8"/>
        <v>0</v>
      </c>
      <c r="N61" s="669">
        <f t="shared" si="8"/>
        <v>0</v>
      </c>
      <c r="O61" s="669">
        <f t="shared" ca="1" si="8"/>
        <v>0</v>
      </c>
      <c r="P61" s="669">
        <f t="shared" si="8"/>
        <v>0</v>
      </c>
      <c r="Q61" s="669">
        <f t="shared" si="8"/>
        <v>0</v>
      </c>
      <c r="R61" s="669">
        <f ca="1">R46+R52+R56</f>
        <v>24184.105933106352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0.21146533216092303</v>
      </c>
      <c r="D63" s="710">
        <f t="shared" ca="1" si="9"/>
        <v>0.11882352941176472</v>
      </c>
      <c r="E63" s="954">
        <f t="shared" ca="1" si="9"/>
        <v>0.20200000000000004</v>
      </c>
      <c r="F63" s="710">
        <f t="shared" si="9"/>
        <v>0.22699999999999998</v>
      </c>
      <c r="G63" s="710">
        <f t="shared" ca="1" si="9"/>
        <v>0.26700000000000002</v>
      </c>
      <c r="H63" s="710">
        <f t="shared" si="9"/>
        <v>0.26700000000000002</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1000.9048454765327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43.649999999999991</v>
      </c>
      <c r="D76" s="964">
        <f>'lokale energieproductie'!C8</f>
        <v>51.35294117647058</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10.373294117647058</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1044.5548454765328</v>
      </c>
      <c r="C78" s="684">
        <f>SUM(C72:C77)</f>
        <v>43.649999999999991</v>
      </c>
      <c r="D78" s="685">
        <f t="shared" ref="D78:H78" si="10">SUM(D76:D77)</f>
        <v>51.35294117647058</v>
      </c>
      <c r="E78" s="685">
        <f t="shared" si="10"/>
        <v>0</v>
      </c>
      <c r="F78" s="685">
        <f t="shared" si="10"/>
        <v>0</v>
      </c>
      <c r="G78" s="685">
        <f t="shared" si="10"/>
        <v>0</v>
      </c>
      <c r="H78" s="685">
        <f t="shared" si="10"/>
        <v>0</v>
      </c>
      <c r="I78" s="685">
        <f>SUM(I76:I77)</f>
        <v>0</v>
      </c>
      <c r="J78" s="685">
        <f>SUM(J76:J77)</f>
        <v>51.35294117647058</v>
      </c>
      <c r="K78" s="685">
        <f t="shared" ref="K78:L78" si="11">SUM(K76:K77)</f>
        <v>0</v>
      </c>
      <c r="L78" s="685">
        <f t="shared" si="11"/>
        <v>0</v>
      </c>
      <c r="M78" s="685">
        <f>SUM(M76:M77)</f>
        <v>0</v>
      </c>
      <c r="N78" s="685">
        <f>SUM(N76:N77)</f>
        <v>0</v>
      </c>
      <c r="O78" s="788">
        <f>SUM(O76:O77)</f>
        <v>0</v>
      </c>
      <c r="P78" s="686">
        <v>0</v>
      </c>
      <c r="Q78" s="686">
        <f>SUM(Q76:Q77)</f>
        <v>10.373294117647058</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62.357142857142847</v>
      </c>
      <c r="C87" s="695">
        <f>'lokale energieproductie'!B17*IFERROR(SUM(D87:H87)/SUM(D87:O87),0)</f>
        <v>62.357142857142847</v>
      </c>
      <c r="D87" s="706">
        <f>'lokale energieproductie'!C17</f>
        <v>73.361344537815114</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14.818991596638654</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62.357142857142847</v>
      </c>
      <c r="C90" s="684">
        <f>SUM(C87:C89)</f>
        <v>62.357142857142847</v>
      </c>
      <c r="D90" s="684">
        <f t="shared" ref="D90:H90" si="12">SUM(D87:D89)</f>
        <v>73.361344537815114</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14.818991596638654</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14407.942845476533</v>
      </c>
      <c r="C4" s="442">
        <f>huishoudens!C8</f>
        <v>0</v>
      </c>
      <c r="D4" s="442">
        <f>huishoudens!D8</f>
        <v>42627.358234082916</v>
      </c>
      <c r="E4" s="442">
        <f>huishoudens!E8</f>
        <v>345.15813308800938</v>
      </c>
      <c r="F4" s="442">
        <f>huishoudens!F8</f>
        <v>10888.662272758782</v>
      </c>
      <c r="G4" s="442">
        <f>huishoudens!G8</f>
        <v>0</v>
      </c>
      <c r="H4" s="442">
        <f>huishoudens!H8</f>
        <v>0</v>
      </c>
      <c r="I4" s="442">
        <f>huishoudens!I8</f>
        <v>0</v>
      </c>
      <c r="J4" s="442">
        <f>huishoudens!J8</f>
        <v>253.92319286613645</v>
      </c>
      <c r="K4" s="442">
        <f>huishoudens!K8</f>
        <v>0</v>
      </c>
      <c r="L4" s="442">
        <f>huishoudens!L8</f>
        <v>0</v>
      </c>
      <c r="M4" s="442">
        <f>huishoudens!M8</f>
        <v>0</v>
      </c>
      <c r="N4" s="442">
        <f>huishoudens!N8</f>
        <v>3473.696195796646</v>
      </c>
      <c r="O4" s="442">
        <f>huishoudens!O8</f>
        <v>89.11</v>
      </c>
      <c r="P4" s="443">
        <f>huishoudens!P8</f>
        <v>1296.5333333333333</v>
      </c>
      <c r="Q4" s="444">
        <f>SUM(B4:P4)</f>
        <v>73382.384207402356</v>
      </c>
    </row>
    <row r="5" spans="1:17">
      <c r="A5" s="441" t="s">
        <v>149</v>
      </c>
      <c r="B5" s="442">
        <f ca="1">tertiair!B16</f>
        <v>7414.1854000000003</v>
      </c>
      <c r="C5" s="442">
        <f ca="1">tertiair!C16</f>
        <v>62.357142857142847</v>
      </c>
      <c r="D5" s="442">
        <f ca="1">tertiair!D16</f>
        <v>10014.186225199084</v>
      </c>
      <c r="E5" s="442">
        <f>tertiair!E16</f>
        <v>79.291255885413364</v>
      </c>
      <c r="F5" s="442">
        <f ca="1">tertiair!F16</f>
        <v>1428.8426514563025</v>
      </c>
      <c r="G5" s="442">
        <f>tertiair!G16</f>
        <v>0</v>
      </c>
      <c r="H5" s="442">
        <f>tertiair!H16</f>
        <v>0</v>
      </c>
      <c r="I5" s="442">
        <f>tertiair!I16</f>
        <v>0</v>
      </c>
      <c r="J5" s="442">
        <f>tertiair!J16</f>
        <v>0</v>
      </c>
      <c r="K5" s="442">
        <f>tertiair!K16</f>
        <v>0</v>
      </c>
      <c r="L5" s="442">
        <f ca="1">tertiair!L16</f>
        <v>0</v>
      </c>
      <c r="M5" s="442">
        <f>tertiair!M16</f>
        <v>0</v>
      </c>
      <c r="N5" s="442">
        <f ca="1">tertiair!N16</f>
        <v>348.98547365208327</v>
      </c>
      <c r="O5" s="442">
        <f>tertiair!O16</f>
        <v>1.5633333333333335</v>
      </c>
      <c r="P5" s="443">
        <f>tertiair!P16</f>
        <v>0</v>
      </c>
      <c r="Q5" s="441">
        <f t="shared" ref="Q5:Q14" ca="1" si="0">SUM(B5:P5)</f>
        <v>19349.411482383362</v>
      </c>
    </row>
    <row r="6" spans="1:17">
      <c r="A6" s="441" t="s">
        <v>187</v>
      </c>
      <c r="B6" s="442">
        <f>'openbare verlichting'!B8</f>
        <v>614.74199999999996</v>
      </c>
      <c r="C6" s="442"/>
      <c r="D6" s="442"/>
      <c r="E6" s="442"/>
      <c r="F6" s="442"/>
      <c r="G6" s="442"/>
      <c r="H6" s="442"/>
      <c r="I6" s="442"/>
      <c r="J6" s="442"/>
      <c r="K6" s="442"/>
      <c r="L6" s="442"/>
      <c r="M6" s="442"/>
      <c r="N6" s="442"/>
      <c r="O6" s="442"/>
      <c r="P6" s="443"/>
      <c r="Q6" s="441">
        <f t="shared" si="0"/>
        <v>614.74199999999996</v>
      </c>
    </row>
    <row r="7" spans="1:17">
      <c r="A7" s="441" t="s">
        <v>105</v>
      </c>
      <c r="B7" s="442">
        <f>landbouw!B8</f>
        <v>227.02516</v>
      </c>
      <c r="C7" s="442">
        <f>landbouw!C8</f>
        <v>62.357142857142847</v>
      </c>
      <c r="D7" s="442">
        <f>landbouw!D8</f>
        <v>47.564883844330701</v>
      </c>
      <c r="E7" s="442">
        <f>landbouw!E8</f>
        <v>4.8682229622990238</v>
      </c>
      <c r="F7" s="442">
        <f>landbouw!F8</f>
        <v>736.39687247690279</v>
      </c>
      <c r="G7" s="442">
        <f>landbouw!G8</f>
        <v>0</v>
      </c>
      <c r="H7" s="442">
        <f>landbouw!H8</f>
        <v>0</v>
      </c>
      <c r="I7" s="442">
        <f>landbouw!I8</f>
        <v>0</v>
      </c>
      <c r="J7" s="442">
        <f>landbouw!J8</f>
        <v>21.873994144347975</v>
      </c>
      <c r="K7" s="442">
        <f>landbouw!K8</f>
        <v>0</v>
      </c>
      <c r="L7" s="442">
        <f>landbouw!L8</f>
        <v>0</v>
      </c>
      <c r="M7" s="442">
        <f>landbouw!M8</f>
        <v>0</v>
      </c>
      <c r="N7" s="442">
        <f>landbouw!N8</f>
        <v>0</v>
      </c>
      <c r="O7" s="442">
        <f>landbouw!O8</f>
        <v>0</v>
      </c>
      <c r="P7" s="443">
        <f>landbouw!P8</f>
        <v>0</v>
      </c>
      <c r="Q7" s="441">
        <f t="shared" si="0"/>
        <v>1100.0862762850234</v>
      </c>
    </row>
    <row r="8" spans="1:17">
      <c r="A8" s="441" t="s">
        <v>612</v>
      </c>
      <c r="B8" s="442">
        <f>industrie!B18</f>
        <v>986.86009999999999</v>
      </c>
      <c r="C8" s="442">
        <f>industrie!C18</f>
        <v>0</v>
      </c>
      <c r="D8" s="442">
        <f>industrie!D18</f>
        <v>1328.6670385889317</v>
      </c>
      <c r="E8" s="442">
        <f>industrie!E18</f>
        <v>60.732488747828697</v>
      </c>
      <c r="F8" s="442">
        <f>industrie!F18</f>
        <v>1356.551479188314</v>
      </c>
      <c r="G8" s="442">
        <f>industrie!G18</f>
        <v>0</v>
      </c>
      <c r="H8" s="442">
        <f>industrie!H18</f>
        <v>0</v>
      </c>
      <c r="I8" s="442">
        <f>industrie!I18</f>
        <v>0</v>
      </c>
      <c r="J8" s="442">
        <f>industrie!J18</f>
        <v>15.841706598552232</v>
      </c>
      <c r="K8" s="442">
        <f>industrie!K18</f>
        <v>0</v>
      </c>
      <c r="L8" s="442">
        <f>industrie!L18</f>
        <v>0</v>
      </c>
      <c r="M8" s="442">
        <f>industrie!M18</f>
        <v>0</v>
      </c>
      <c r="N8" s="442">
        <f>industrie!N18</f>
        <v>354.31039761797945</v>
      </c>
      <c r="O8" s="442">
        <f>industrie!O18</f>
        <v>0</v>
      </c>
      <c r="P8" s="443">
        <f>industrie!P18</f>
        <v>0</v>
      </c>
      <c r="Q8" s="441">
        <f t="shared" si="0"/>
        <v>4102.9632107416055</v>
      </c>
    </row>
    <row r="9" spans="1:17" s="447" customFormat="1">
      <c r="A9" s="445" t="s">
        <v>556</v>
      </c>
      <c r="B9" s="446">
        <f>transport!B14</f>
        <v>2.6056760173446709</v>
      </c>
      <c r="C9" s="446">
        <f>transport!C14</f>
        <v>0</v>
      </c>
      <c r="D9" s="446">
        <f>transport!D14</f>
        <v>4.3330237064414634</v>
      </c>
      <c r="E9" s="446">
        <f>transport!E14</f>
        <v>41.698521347226752</v>
      </c>
      <c r="F9" s="446">
        <f>transport!F14</f>
        <v>0</v>
      </c>
      <c r="G9" s="446">
        <f>transport!G14</f>
        <v>10756.573252140346</v>
      </c>
      <c r="H9" s="446">
        <f>transport!H14</f>
        <v>2647.5255138457596</v>
      </c>
      <c r="I9" s="446">
        <f>transport!I14</f>
        <v>0</v>
      </c>
      <c r="J9" s="446">
        <f>transport!J14</f>
        <v>0</v>
      </c>
      <c r="K9" s="446">
        <f>transport!K14</f>
        <v>0</v>
      </c>
      <c r="L9" s="446">
        <f>transport!L14</f>
        <v>0</v>
      </c>
      <c r="M9" s="446">
        <f>transport!M14</f>
        <v>704.39260348027676</v>
      </c>
      <c r="N9" s="446">
        <f>transport!N14</f>
        <v>0</v>
      </c>
      <c r="O9" s="446">
        <f>transport!O14</f>
        <v>0</v>
      </c>
      <c r="P9" s="446">
        <f>transport!P14</f>
        <v>0</v>
      </c>
      <c r="Q9" s="445">
        <f>SUM(B9:P9)</f>
        <v>14157.128590537395</v>
      </c>
    </row>
    <row r="10" spans="1:17">
      <c r="A10" s="441" t="s">
        <v>546</v>
      </c>
      <c r="B10" s="442">
        <f>transport!B54</f>
        <v>4.706712456243058</v>
      </c>
      <c r="C10" s="442">
        <f>transport!C54</f>
        <v>0</v>
      </c>
      <c r="D10" s="442">
        <f>transport!D54</f>
        <v>0</v>
      </c>
      <c r="E10" s="442">
        <f>transport!E54</f>
        <v>0</v>
      </c>
      <c r="F10" s="442">
        <f>transport!F54</f>
        <v>0</v>
      </c>
      <c r="G10" s="442">
        <f>transport!G54</f>
        <v>891.8599234746298</v>
      </c>
      <c r="H10" s="442">
        <f>transport!H54</f>
        <v>0</v>
      </c>
      <c r="I10" s="442">
        <f>transport!I54</f>
        <v>0</v>
      </c>
      <c r="J10" s="442">
        <f>transport!J54</f>
        <v>0</v>
      </c>
      <c r="K10" s="442">
        <f>transport!K54</f>
        <v>0</v>
      </c>
      <c r="L10" s="442">
        <f>transport!L54</f>
        <v>0</v>
      </c>
      <c r="M10" s="442">
        <f>transport!M54</f>
        <v>51.34262421301441</v>
      </c>
      <c r="N10" s="442">
        <f>transport!N54</f>
        <v>0</v>
      </c>
      <c r="O10" s="442">
        <f>transport!O54</f>
        <v>0</v>
      </c>
      <c r="P10" s="443">
        <f>transport!P54</f>
        <v>0</v>
      </c>
      <c r="Q10" s="441">
        <f t="shared" si="0"/>
        <v>947.90926014388731</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477.0127</v>
      </c>
      <c r="C14" s="449"/>
      <c r="D14" s="449">
        <f>'SEAP template'!E25</f>
        <v>1545.46715865741</v>
      </c>
      <c r="E14" s="449"/>
      <c r="F14" s="449"/>
      <c r="G14" s="449"/>
      <c r="H14" s="449"/>
      <c r="I14" s="449"/>
      <c r="J14" s="449"/>
      <c r="K14" s="449"/>
      <c r="L14" s="449"/>
      <c r="M14" s="449"/>
      <c r="N14" s="449"/>
      <c r="O14" s="449"/>
      <c r="P14" s="450"/>
      <c r="Q14" s="441">
        <f t="shared" si="0"/>
        <v>2022.47985865741</v>
      </c>
    </row>
    <row r="15" spans="1:17" s="451" customFormat="1">
      <c r="A15" s="969" t="s">
        <v>550</v>
      </c>
      <c r="B15" s="909">
        <f ca="1">SUM(B4:B14)</f>
        <v>24135.080593950119</v>
      </c>
      <c r="C15" s="909">
        <f t="shared" ref="C15:Q15" ca="1" si="1">SUM(C4:C14)</f>
        <v>124.71428571428569</v>
      </c>
      <c r="D15" s="909">
        <f t="shared" ca="1" si="1"/>
        <v>55567.576564079114</v>
      </c>
      <c r="E15" s="909">
        <f t="shared" si="1"/>
        <v>531.74862203077726</v>
      </c>
      <c r="F15" s="909">
        <f t="shared" ca="1" si="1"/>
        <v>14410.453275880302</v>
      </c>
      <c r="G15" s="909">
        <f t="shared" si="1"/>
        <v>11648.433175614977</v>
      </c>
      <c r="H15" s="909">
        <f t="shared" si="1"/>
        <v>2647.5255138457596</v>
      </c>
      <c r="I15" s="909">
        <f t="shared" si="1"/>
        <v>0</v>
      </c>
      <c r="J15" s="909">
        <f t="shared" si="1"/>
        <v>291.63889360903664</v>
      </c>
      <c r="K15" s="909">
        <f t="shared" si="1"/>
        <v>0</v>
      </c>
      <c r="L15" s="909">
        <f t="shared" ca="1" si="1"/>
        <v>0</v>
      </c>
      <c r="M15" s="909">
        <f t="shared" si="1"/>
        <v>755.73522769329122</v>
      </c>
      <c r="N15" s="909">
        <f t="shared" ca="1" si="1"/>
        <v>4176.9920670667088</v>
      </c>
      <c r="O15" s="909">
        <f t="shared" si="1"/>
        <v>90.673333333333332</v>
      </c>
      <c r="P15" s="909">
        <f t="shared" si="1"/>
        <v>1296.5333333333333</v>
      </c>
      <c r="Q15" s="909">
        <f t="shared" ca="1" si="1"/>
        <v>115677.10488615105</v>
      </c>
    </row>
    <row r="17" spans="1:17">
      <c r="A17" s="452" t="s">
        <v>551</v>
      </c>
      <c r="B17" s="715">
        <f ca="1">huishoudens!B10</f>
        <v>0.21146533216092303</v>
      </c>
      <c r="C17" s="715">
        <f ca="1">huishoudens!C10</f>
        <v>0.11882352941176472</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3046.7804195742897</v>
      </c>
      <c r="C22" s="442">
        <f t="shared" ref="C22:C32" ca="1" si="3">C4*$C$17</f>
        <v>0</v>
      </c>
      <c r="D22" s="442">
        <f t="shared" ref="D22:D32" si="4">D4*$D$17</f>
        <v>8610.7263632847498</v>
      </c>
      <c r="E22" s="442">
        <f t="shared" ref="E22:E32" si="5">E4*$E$17</f>
        <v>78.350896210978135</v>
      </c>
      <c r="F22" s="442">
        <f t="shared" ref="F22:F32" si="6">F4*$F$17</f>
        <v>2907.2728268265951</v>
      </c>
      <c r="G22" s="442">
        <f t="shared" ref="G22:G32" si="7">G4*$G$17</f>
        <v>0</v>
      </c>
      <c r="H22" s="442">
        <f t="shared" ref="H22:H32" si="8">H4*$H$17</f>
        <v>0</v>
      </c>
      <c r="I22" s="442">
        <f t="shared" ref="I22:I32" si="9">I4*$I$17</f>
        <v>0</v>
      </c>
      <c r="J22" s="442">
        <f t="shared" ref="J22:J32" si="10">J4*$J$17</f>
        <v>89.888810274612297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14733.019316171223</v>
      </c>
    </row>
    <row r="23" spans="1:17">
      <c r="A23" s="441" t="s">
        <v>149</v>
      </c>
      <c r="B23" s="442">
        <f t="shared" ca="1" si="2"/>
        <v>1567.8431783136662</v>
      </c>
      <c r="C23" s="442">
        <f t="shared" ca="1" si="3"/>
        <v>7.4094957983193268</v>
      </c>
      <c r="D23" s="442">
        <f t="shared" ca="1" si="4"/>
        <v>2022.8656174902151</v>
      </c>
      <c r="E23" s="442">
        <f t="shared" si="5"/>
        <v>17.999115085988834</v>
      </c>
      <c r="F23" s="442">
        <f t="shared" ca="1" si="6"/>
        <v>381.50098793883279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3997.6183946270221</v>
      </c>
    </row>
    <row r="24" spans="1:17">
      <c r="A24" s="441" t="s">
        <v>187</v>
      </c>
      <c r="B24" s="442">
        <f t="shared" ca="1" si="2"/>
        <v>129.99662122327013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129.99662122327013</v>
      </c>
    </row>
    <row r="25" spans="1:17">
      <c r="A25" s="441" t="s">
        <v>105</v>
      </c>
      <c r="B25" s="442">
        <f t="shared" ca="1" si="2"/>
        <v>48.007950868286699</v>
      </c>
      <c r="C25" s="442">
        <f t="shared" ca="1" si="3"/>
        <v>7.4094957983193268</v>
      </c>
      <c r="D25" s="442">
        <f t="shared" si="4"/>
        <v>9.6081065365548017</v>
      </c>
      <c r="E25" s="442">
        <f t="shared" si="5"/>
        <v>1.1050866124418786</v>
      </c>
      <c r="F25" s="442">
        <f t="shared" si="6"/>
        <v>196.61796495133305</v>
      </c>
      <c r="G25" s="442">
        <f t="shared" si="7"/>
        <v>0</v>
      </c>
      <c r="H25" s="442">
        <f t="shared" si="8"/>
        <v>0</v>
      </c>
      <c r="I25" s="442">
        <f t="shared" si="9"/>
        <v>0</v>
      </c>
      <c r="J25" s="442">
        <f t="shared" si="10"/>
        <v>7.7433939270991825</v>
      </c>
      <c r="K25" s="442">
        <f t="shared" si="11"/>
        <v>0</v>
      </c>
      <c r="L25" s="442">
        <f t="shared" si="12"/>
        <v>0</v>
      </c>
      <c r="M25" s="442">
        <f t="shared" si="13"/>
        <v>0</v>
      </c>
      <c r="N25" s="442">
        <f t="shared" si="14"/>
        <v>0</v>
      </c>
      <c r="O25" s="442">
        <f t="shared" si="15"/>
        <v>0</v>
      </c>
      <c r="P25" s="443">
        <f t="shared" si="16"/>
        <v>0</v>
      </c>
      <c r="Q25" s="441">
        <f t="shared" ca="1" si="17"/>
        <v>270.49199869403492</v>
      </c>
    </row>
    <row r="26" spans="1:17">
      <c r="A26" s="441" t="s">
        <v>612</v>
      </c>
      <c r="B26" s="442">
        <f t="shared" ca="1" si="2"/>
        <v>208.68669884286172</v>
      </c>
      <c r="C26" s="442">
        <f t="shared" ca="1" si="3"/>
        <v>0</v>
      </c>
      <c r="D26" s="442">
        <f t="shared" si="4"/>
        <v>268.39074179496424</v>
      </c>
      <c r="E26" s="442">
        <f t="shared" si="5"/>
        <v>13.786274945757114</v>
      </c>
      <c r="F26" s="442">
        <f t="shared" si="6"/>
        <v>362.19924494327989</v>
      </c>
      <c r="G26" s="442">
        <f t="shared" si="7"/>
        <v>0</v>
      </c>
      <c r="H26" s="442">
        <f t="shared" si="8"/>
        <v>0</v>
      </c>
      <c r="I26" s="442">
        <f t="shared" si="9"/>
        <v>0</v>
      </c>
      <c r="J26" s="442">
        <f t="shared" si="10"/>
        <v>5.6079641358874897</v>
      </c>
      <c r="K26" s="442">
        <f t="shared" si="11"/>
        <v>0</v>
      </c>
      <c r="L26" s="442">
        <f t="shared" si="12"/>
        <v>0</v>
      </c>
      <c r="M26" s="442">
        <f t="shared" si="13"/>
        <v>0</v>
      </c>
      <c r="N26" s="442">
        <f t="shared" si="14"/>
        <v>0</v>
      </c>
      <c r="O26" s="442">
        <f t="shared" si="15"/>
        <v>0</v>
      </c>
      <c r="P26" s="443">
        <f t="shared" si="16"/>
        <v>0</v>
      </c>
      <c r="Q26" s="441">
        <f t="shared" ca="1" si="17"/>
        <v>858.67092466275051</v>
      </c>
    </row>
    <row r="27" spans="1:17" s="447" customFormat="1">
      <c r="A27" s="445" t="s">
        <v>556</v>
      </c>
      <c r="B27" s="709">
        <f t="shared" ca="1" si="2"/>
        <v>0.55101014451154184</v>
      </c>
      <c r="C27" s="446">
        <f t="shared" ca="1" si="3"/>
        <v>0</v>
      </c>
      <c r="D27" s="446">
        <f t="shared" si="4"/>
        <v>0.87527078870117569</v>
      </c>
      <c r="E27" s="446">
        <f t="shared" si="5"/>
        <v>9.4655643458204732</v>
      </c>
      <c r="F27" s="446">
        <f t="shared" si="6"/>
        <v>0</v>
      </c>
      <c r="G27" s="446">
        <f t="shared" si="7"/>
        <v>2872.0050583214725</v>
      </c>
      <c r="H27" s="446">
        <f t="shared" si="8"/>
        <v>659.23385294759419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3542.1307565480997</v>
      </c>
    </row>
    <row r="28" spans="1:17">
      <c r="A28" s="441" t="s">
        <v>546</v>
      </c>
      <c r="B28" s="442">
        <f t="shared" ca="1" si="2"/>
        <v>0.99530651294539219</v>
      </c>
      <c r="C28" s="442">
        <f t="shared" ca="1" si="3"/>
        <v>0</v>
      </c>
      <c r="D28" s="442">
        <f t="shared" si="4"/>
        <v>0</v>
      </c>
      <c r="E28" s="442">
        <f t="shared" si="5"/>
        <v>0</v>
      </c>
      <c r="F28" s="442">
        <f t="shared" si="6"/>
        <v>0</v>
      </c>
      <c r="G28" s="442">
        <f t="shared" si="7"/>
        <v>238.12659956772617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239.12190608067158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100.87164905047872</v>
      </c>
      <c r="C32" s="442">
        <f t="shared" ca="1" si="3"/>
        <v>0</v>
      </c>
      <c r="D32" s="442">
        <f t="shared" si="4"/>
        <v>312.18436604879685</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413.05601509927556</v>
      </c>
    </row>
    <row r="33" spans="1:17" s="451" customFormat="1">
      <c r="A33" s="969" t="s">
        <v>550</v>
      </c>
      <c r="B33" s="909">
        <f ca="1">SUM(B22:B32)</f>
        <v>5103.7328345303104</v>
      </c>
      <c r="C33" s="909">
        <f t="shared" ref="C33:Q33" ca="1" si="18">SUM(C22:C32)</f>
        <v>14.818991596638654</v>
      </c>
      <c r="D33" s="909">
        <f t="shared" ca="1" si="18"/>
        <v>11224.650465943983</v>
      </c>
      <c r="E33" s="909">
        <f t="shared" si="18"/>
        <v>120.70693720098643</v>
      </c>
      <c r="F33" s="909">
        <f t="shared" ca="1" si="18"/>
        <v>3847.5910246600406</v>
      </c>
      <c r="G33" s="909">
        <f t="shared" si="18"/>
        <v>3110.1316578891988</v>
      </c>
      <c r="H33" s="909">
        <f t="shared" si="18"/>
        <v>659.23385294759419</v>
      </c>
      <c r="I33" s="909">
        <f t="shared" si="18"/>
        <v>0</v>
      </c>
      <c r="J33" s="909">
        <f t="shared" si="18"/>
        <v>103.24016833759896</v>
      </c>
      <c r="K33" s="909">
        <f t="shared" si="18"/>
        <v>0</v>
      </c>
      <c r="L33" s="909">
        <f t="shared" ca="1" si="18"/>
        <v>0</v>
      </c>
      <c r="M33" s="909">
        <f t="shared" si="18"/>
        <v>0</v>
      </c>
      <c r="N33" s="909">
        <f t="shared" ca="1" si="18"/>
        <v>0</v>
      </c>
      <c r="O33" s="909">
        <f t="shared" si="18"/>
        <v>0</v>
      </c>
      <c r="P33" s="909">
        <f t="shared" si="18"/>
        <v>0</v>
      </c>
      <c r="Q33" s="909">
        <f t="shared" ca="1" si="18"/>
        <v>24184.105933106344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1000.9048454765327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43.649999999999991</v>
      </c>
      <c r="D8" s="986">
        <f>'SEAP template'!D76</f>
        <v>51.35294117647058</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10.373294117647058</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1044.5548454765328</v>
      </c>
      <c r="C10" s="990">
        <f>SUM(C4:C9)</f>
        <v>43.649999999999991</v>
      </c>
      <c r="D10" s="990">
        <f t="shared" ref="D10:H10" si="0">SUM(D8:D9)</f>
        <v>51.35294117647058</v>
      </c>
      <c r="E10" s="990">
        <f t="shared" si="0"/>
        <v>0</v>
      </c>
      <c r="F10" s="990">
        <f t="shared" si="0"/>
        <v>0</v>
      </c>
      <c r="G10" s="990">
        <f t="shared" si="0"/>
        <v>0</v>
      </c>
      <c r="H10" s="990">
        <f t="shared" si="0"/>
        <v>0</v>
      </c>
      <c r="I10" s="990">
        <f>SUM(I8:I9)</f>
        <v>0</v>
      </c>
      <c r="J10" s="990">
        <f>SUM(J8:J9)</f>
        <v>51.35294117647058</v>
      </c>
      <c r="K10" s="990">
        <f t="shared" ref="K10:L10" si="1">SUM(K8:K9)</f>
        <v>0</v>
      </c>
      <c r="L10" s="990">
        <f t="shared" si="1"/>
        <v>0</v>
      </c>
      <c r="M10" s="990">
        <f>SUM(M8:M9)</f>
        <v>0</v>
      </c>
      <c r="N10" s="990">
        <f>SUM(N8:N9)</f>
        <v>0</v>
      </c>
      <c r="O10" s="990">
        <f>SUM(O8:O9)</f>
        <v>0</v>
      </c>
      <c r="P10" s="990">
        <f>SUM(P8:P9)</f>
        <v>10.373294117647058</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0.21146533216092303</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62.357142857142847</v>
      </c>
      <c r="C17" s="992">
        <f>'SEAP template'!C87</f>
        <v>62.357142857142847</v>
      </c>
      <c r="D17" s="987">
        <f>'SEAP template'!D87</f>
        <v>73.361344537815114</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14.818991596638654</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62.357142857142847</v>
      </c>
      <c r="C20" s="990">
        <f>SUM(C17:C19)</f>
        <v>62.357142857142847</v>
      </c>
      <c r="D20" s="990">
        <f t="shared" ref="D20:H20" si="2">SUM(D17:D19)</f>
        <v>73.361344537815114</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14.818991596638654</v>
      </c>
    </row>
    <row r="22" spans="1:16">
      <c r="A22" s="452" t="s">
        <v>826</v>
      </c>
      <c r="B22" s="715" t="s">
        <v>820</v>
      </c>
      <c r="C22" s="715">
        <f ca="1">'EF ele_warmte'!B22</f>
        <v>0.11882352941176472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0.21146533216092303</v>
      </c>
      <c r="C17" s="489">
        <f ca="1">'EF ele_warmte'!B22</f>
        <v>0.11882352941176472</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2022-07-26T11:23:21Z</dcterms:modified>
</cp:coreProperties>
</file>