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6615007-8C49-4FC8-8451-084B271AA1D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<sst xmlns="http://schemas.openxmlformats.org/spreadsheetml/2006/main" count="2446" uniqueCount="910">
  <si>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</si>
  <si>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</si>
  <si>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</si>
  <si>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</si>
  <si>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</si>
  <si>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</si>
  <si>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</si>
  <si>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</si>
  <si>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</si>
  <si>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</si>
  <si>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</si>
  <si>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</si>
  <si>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</si>
  <si>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</si>
  <si>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</si>
  <si>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</si>
  <si>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</si>
  <si>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</si>
  <si>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</si>
  <si>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</si>
  <si>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</si>
  <si>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</si>
  <si>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</si>
  <si>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</si>
  <si>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</si>
  <si>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</si>
  <si>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</si>
  <si>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</si>
  <si>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</si>
  <si>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</si>
  <si>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</si>
  <si>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</si>
  <si>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</si>
  <si>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</si>
  <si>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</si>
  <si>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</si>
  <si>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</si>
  <si>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</si>
  <si>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</si>
  <si>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</si>
  <si>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</si>
  <si>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</si>
  <si>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</si>
  <si>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</si>
  <si>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</si>
  <si>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</si>
  <si>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</si>
  <si>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</si>
  <si>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</si>
  <si>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</si>
  <si>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</si>
  <si>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</si>
  <si>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</si>
  <si>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</si>
  <si>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</si>
  <si>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</si>
  <si>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</si>
  <si>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</si>
  <si>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</si>
  <si>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</si>
  <si>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</si>
  <si>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</si>
  <si>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</si>
  <si>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</si>
  <si>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</si>
  <si>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</si>
  <si>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</si>
  <si>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</si>
  <si>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</si>
  <si>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</si>
  <si>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</si>
  <si>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</si>
  <si>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</si>
  <si>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</si>
  <si>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</si>
  <si>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</si>
  <si>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</si>
  <si>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</si>
  <si>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</si>
  <si>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</si>
  <si>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</si>
  <si>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</si>
  <si>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</si>
  <si>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</si>
  <si>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</si>
  <si>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</si>
  <si>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</si>
  <si>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</si>
  <si>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</si>
  <si>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</si>
  <si>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</si>
  <si>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</si>
  <si>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</si>
  <si>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</si>
  <si>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</si>
  <si>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</si>
  <si>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</si>
  <si>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</si>
  <si>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</si>
  <si>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</si>
  <si>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</si>
  <si>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</si>
  <si>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</si>
  <si>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</si>
  <si>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</si>
  <si>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</si>
  <si>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</si>
  <si>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</si>
  <si>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</si>
  <si>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</si>
  <si>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</si>
  <si>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</si>
  <si>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</si>
  <si>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</si>
  <si>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</si>
  <si>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</si>
  <si>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</si>
  <si>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</si>
  <si>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</si>
  <si>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</si>
  <si>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</si>
  <si>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</si>
  <si>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</si>
  <si>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</si>
  <si>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</si>
  <si>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</si>
  <si>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</si>
  <si>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</si>
  <si>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</si>
  <si>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</si>
  <si>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</si>
  <si>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</si>
  <si>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</si>
  <si>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</si>
  <si>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</si>
  <si>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</si>
  <si>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</si>
  <si>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</si>
  <si>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</si>
  <si>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</si>
  <si>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</si>
  <si>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</si>
  <si>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</si>
  <si>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</si>
  <si>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</si>
  <si>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</si>
  <si>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</si>
  <si>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</si>
  <si>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</si>
  <si>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</si>
  <si>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</si>
  <si>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</si>
  <si>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</si>
  <si>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</si>
  <si>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</si>
  <si>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</si>
  <si>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</si>
  <si>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</si>
  <si>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</si>
  <si>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</si>
  <si>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</si>
  <si>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</si>
  <si>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</si>
  <si>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</si>
  <si>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</si>
  <si>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</si>
  <si>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</si>
  <si>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</si>
  <si>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</si>
  <si>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</si>
  <si>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</si>
  <si>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</si>
  <si>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</si>
  <si>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</si>
  <si>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</si>
  <si>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</si>
  <si>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</si>
  <si>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</si>
  <si>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</si>
  <si>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</si>
  <si>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</si>
  <si>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</si>
  <si>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</si>
  <si>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</si>
  <si>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</si>
  <si>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</si>
  <si>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</si>
  <si>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</si>
  <si>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</si>
  <si>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</si>
  <si>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</si>
  <si>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</si>
  <si>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</si>
  <si>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</si>
  <si>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</si>
  <si>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</si>
  <si>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</si>
  <si>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</si>
  <si>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</si>
  <si>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</si>
  <si>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</si>
  <si>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</si>
  <si>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</si>
  <si>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</si>
  <si>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</si>
  <si>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</si>
  <si>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</si>
  <si>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</si>
  <si>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</si>
  <si>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</si>
  <si>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</si>
  <si>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</si>
  <si>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</si>
  <si>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</si>
  <si>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</si>
  <si>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</si>
  <si>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</si>
  <si>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</si>
  <si>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</si>
  <si>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</si>
  <si>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</si>
  <si>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</si>
  <si>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</si>
  <si>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</si>
  <si>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</si>
  <si>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</si>
  <si>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</si>
  <si>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</si>
  <si>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</si>
  <si>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</si>
  <si>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</si>
  <si>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</si>
  <si>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</si>
  <si>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</si>
  <si>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</si>
  <si>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</si>
  <si>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</si>
  <si>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</si>
  <si>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</si>
  <si>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</si>
  <si>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</si>
  <si>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</si>
  <si>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</si>
  <si>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</si>
  <si>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</si>
  <si>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</si>
  <si>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</si>
  <si>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</si>
  <si>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</si>
  <si>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</si>
  <si>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</si>
  <si>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</si>
  <si>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</si>
  <si>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</si>
  <si>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</si>
  <si>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</si>
  <si>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</si>
  <si>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</si>
  <si>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</si>
  <si>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</si>
  <si>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</si>
  <si>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</si>
  <si>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</si>
  <si>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</si>
  <si>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</si>
  <si>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</si>
  <si>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</si>
  <si>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</si>
  <si>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</si>
  <si>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</si>
  <si>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</si>
  <si>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</si>
  <si>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</si>
  <si>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</si>
  <si>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</si>
  <si>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</si>
  <si>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</si>
  <si>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</si>
  <si>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</si>
  <si>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</si>
  <si>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</si>
  <si>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</si>
  <si>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</si>
  <si>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</si>
  <si>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</si>
  <si>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</si>
  <si>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</si>
  <si>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</si>
  <si>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</si>
  <si>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</si>
  <si>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</si>
  <si>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</si>
  <si>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</si>
  <si>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</si>
  <si>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</si>
  <si>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</si>
  <si>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</si>
  <si>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</si>
  <si>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</si>
  <si>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</si>
  <si>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</si>
  <si>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</si>
  <si>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</si>
  <si>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</si>
  <si>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</si>
  <si>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</si>
  <si>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</si>
  <si>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</si>
  <si>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</si>
  <si>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</si>
  <si>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</si>
  <si>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</si>
  <si>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</si>
  <si>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</si>
  <si>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</si>
  <si>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</si>
  <si>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</si>
  <si>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</si>
  <si>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</si>
  <si>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</si>
  <si>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</si>
  <si>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</si>
  <si>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</si>
  <si>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</si>
  <si>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</si>
  <si>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</si>
  <si>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</si>
  <si>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</si>
  <si>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</si>
  <si>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</si>
  <si>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</si>
  <si>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</si>
  <si>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</si>
  <si>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</si>
  <si>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</si>
  <si>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</si>
  <si>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</si>
  <si>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</si>
  <si>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</si>
  <si>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</si>
  <si>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</si>
  <si>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</si>
  <si>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</si>
  <si>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</si>
  <si>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</si>
  <si>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</si>
  <si>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</si>
  <si>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</si>
  <si>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</si>
  <si>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</si>
  <si>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</si>
  <si>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</si>
  <si>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</si>
  <si>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</si>
  <si>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</si>
  <si>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</si>
  <si>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</si>
  <si>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</si>
  <si>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</si>
  <si>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</si>
  <si>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</si>
  <si>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</si>
  <si>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</si>
  <si>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</si>
  <si>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</si>
  <si>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</si>
  <si>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</si>
  <si>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</si>
  <si>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</si>
  <si>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</si>
  <si>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</si>
  <si>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</si>
  <si>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</si>
  <si>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</si>
  <si>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</si>
  <si>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</si>
  <si>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</si>
  <si>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</si>
  <si>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</si>
  <si>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</si>
  <si>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</si>
  <si>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</si>
  <si>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</si>
  <si>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</si>
  <si>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</si>
  <si>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</si>
  <si>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</si>
  <si>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</si>
  <si>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</si>
  <si>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</si>
  <si>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</si>
  <si>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</si>
  <si>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</si>
  <si>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</si>
  <si>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</si>
  <si>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</si>
  <si>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</si>
  <si>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</si>
  <si>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</si>
  <si>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</si>
  <si>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</si>
  <si>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</si>
  <si>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</si>
  <si>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</si>
  <si>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</si>
  <si>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</si>
  <si>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</si>
  <si>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</si>
  <si>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</si>
  <si>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</si>
  <si>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</si>
  <si>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</si>
  <si>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</si>
  <si>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</si>
  <si>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</si>
  <si>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</si>
  <si>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</si>
  <si>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</si>
  <si>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</si>
  <si>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</si>
  <si>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</si>
  <si>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</si>
  <si>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</si>
  <si>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</si>
  <si>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</si>
  <si>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</si>
  <si>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</si>
  <si>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</si>
  <si>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</si>
  <si>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</si>
  <si>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</si>
  <si>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</si>
  <si>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</si>
  <si>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</si>
  <si>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</si>
  <si>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</si>
  <si>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</si>
  <si>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</si>
  <si>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</si>
  <si>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</si>
  <si>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</si>
  <si>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</si>
  <si>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</si>
  <si>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</si>
  <si>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</si>
  <si>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</si>
  <si>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</si>
  <si>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</si>
  <si>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</si>
  <si>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</si>
  <si>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</si>
  <si>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</si>
  <si>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</si>
  <si>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</si>
  <si>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</si>
  <si>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</si>
  <si>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</si>
  <si>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</si>
  <si>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</si>
  <si>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</si>
  <si>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</si>
  <si>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</si>
  <si>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</si>
  <si>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</si>
  <si>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</si>
  <si>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</si>
  <si>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</si>
  <si>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</si>
  <si>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</si>
  <si>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</si>
  <si>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</si>
  <si>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</si>
  <si>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</si>
  <si>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</si>
  <si>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</si>
  <si>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</si>
  <si>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</si>
  <si>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</si>
  <si>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</si>
  <si>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</si>
  <si>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</si>
  <si>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</si>
  <si>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</si>
  <si>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</si>
  <si>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</si>
  <si>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</si>
  <si>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</si>
  <si>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</si>
  <si>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</si>
  <si>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</si>
  <si>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</si>
  <si>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</si>
  <si>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</si>
  <si>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</si>
  <si>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</si>
  <si>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</si>
  <si>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</si>
  <si>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</si>
  <si>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</si>
  <si>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</si>
  <si>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</si>
  <si>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</si>
  <si>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</si>
  <si>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</si>
  <si>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</si>
  <si>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</si>
  <si>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</si>
  <si>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</si>
  <si>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</si>
  <si>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</si>
  <si>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</si>
  <si>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</si>
  <si>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</si>
  <si>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</si>
  <si>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</si>
  <si>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</si>
  <si>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</si>
  <si>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</si>
  <si>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</si>
  <si>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</si>
  <si>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</si>
  <si>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</si>
  <si>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</si>
  <si>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</si>
  <si>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</si>
  <si>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</si>
  <si>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</si>
  <si>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</si>
  <si>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</si>
  <si>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</si>
  <si>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</si>
  <si>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</si>
  <si>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</si>
  <si>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</si>
  <si>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</si>
  <si>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</si>
  <si>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</si>
  <si>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</si>
  <si>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</si>
  <si>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</si>
  <si>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</si>
  <si>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</si>
  <si>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</si>
  <si>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</si>
  <si>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</si>
  <si>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</si>
  <si>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</si>
  <si>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</si>
  <si>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</si>
  <si>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</si>
  <si>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</si>
  <si>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</si>
  <si>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</si>
  <si>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</si>
  <si>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</si>
  <si>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</si>
  <si>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</si>
  <si>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</si>
  <si>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</si>
  <si>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</si>
  <si>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</si>
  <si>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</si>
  <si>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</si>
  <si>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</si>
  <si>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</si>
  <si>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</si>
  <si>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</si>
  <si>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</si>
  <si>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</si>
  <si>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</si>
  <si>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</si>
  <si>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</si>
  <si>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</si>
  <si>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</si>
  <si>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</si>
  <si>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</si>
  <si>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</si>
  <si>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</si>
  <si>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</si>
  <si>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</si>
  <si>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</si>
  <si>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</si>
  <si>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</si>
  <si>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</si>
  <si>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</si>
  <si>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</si>
  <si>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</si>
  <si>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</si>
  <si>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</si>
  <si>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</si>
  <si>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</si>
  <si>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</si>
  <si>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</si>
  <si>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</si>
  <si>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</si>
  <si>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</si>
  <si>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</si>
  <si>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</si>
  <si>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</si>
  <si>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</si>
  <si>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</si>
  <si>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</si>
  <si>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</si>
  <si>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</si>
  <si>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</si>
  <si>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</si>
  <si>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</si>
  <si>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</si>
  <si>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</si>
  <si>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</si>
  <si>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</si>
  <si>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</si>
  <si>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</si>
  <si>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</si>
  <si>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</si>
  <si>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</si>
  <si>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</si>
  <si>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</si>
  <si>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</si>
  <si>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</si>
  <si>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</si>
  <si>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</si>
  <si>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</si>
  <si>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</si>
  <si>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</si>
  <si>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</si>
  <si>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</si>
  <si>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</si>
  <si>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</si>
  <si>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</si>
  <si>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</si>
  <si>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</si>
  <si>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</si>
  <si>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</si>
  <si>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</si>
  <si>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</si>
  <si>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</si>
  <si>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</si>
  <si>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</si>
  <si>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</si>
  <si>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</si>
  <si>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</si>
  <si>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</si>
  <si>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</si>
  <si>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</si>
  <si>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</si>
  <si>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</si>
  <si>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</si>
  <si>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</si>
  <si>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</si>
  <si>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</si>
  <si>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</si>
  <si>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</si>
  <si>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</si>
  <si>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</si>
  <si>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</si>
  <si>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</si>
  <si>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</si>
  <si>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</si>
  <si>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</si>
  <si>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</si>
  <si>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</si>
  <si>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</si>
  <si>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</si>
  <si>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</si>
  <si>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</si>
  <si>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</si>
  <si>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</si>
  <si>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</si>
  <si>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</si>
  <si>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</si>
  <si>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</si>
  <si>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</si>
  <si>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</si>
  <si>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</si>
  <si>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</si>
  <si>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</si>
  <si>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</si>
  <si>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</si>
  <si>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</si>
  <si>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</si>
  <si>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</si>
  <si>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</si>
  <si>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</si>
  <si>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</si>
  <si>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</si>
  <si>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</si>
  <si>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</si>
  <si>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</si>
  <si>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</si>
  <si>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</si>
  <si>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</si>
  <si>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</si>
  <si>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</si>
  <si>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</si>
  <si>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</si>
  <si>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</si>
  <si>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</si>
  <si>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</si>
  <si>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</si>
  <si>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</si>
  <si>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</si>
  <si>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</si>
  <si>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</si>
  <si>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</si>
  <si>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</si>
  <si>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</si>
  <si>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</si>
  <si>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</si>
  <si>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</si>
  <si>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</si>
  <si>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</si>
  <si>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</si>
  <si>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</si>
  <si>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</si>
  <si>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</si>
  <si>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</si>
  <si>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</si>
  <si>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</si>
  <si>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</si>
  <si>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</si>
  <si>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</si>
  <si>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</si>
  <si>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</si>
  <si>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</si>
  <si>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</si>
  <si>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</si>
  <si>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</si>
  <si>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</si>
  <si>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</si>
  <si>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</si>
  <si>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</si>
  <si>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</si>
  <si>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</si>
  <si>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</si>
  <si>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</si>
  <si>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</si>
  <si>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</si>
  <si>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</si>
  <si>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</si>
  <si>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</si>
  <si>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</si>
  <si>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</si>
  <si>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</si>
  <si>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</si>
  <si>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</si>
  <si>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</si>
  <si>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</si>
  <si>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</si>
  <si>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</si>
  <si>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</si>
  <si>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</si>
  <si>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</si>
  <si>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</si>
  <si>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</si>
  <si>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</si>
  <si>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</si>
  <si>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</si>
  <si>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</si>
  <si>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</si>
  <si>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</si>
  <si>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</si>
  <si>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</si>
  <si>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</si>
  <si>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</si>
  <si>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</si>
  <si>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</si>
  <si>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</si>
  <si>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</si>
  <si>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</si>
  <si>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</si>
  <si>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</si>
  <si>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</si>
  <si>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</si>
  <si>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</si>
  <si>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</si>
  <si>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</si>
  <si>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</si>
  <si>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</si>
  <si>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</si>
  <si>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</si>
  <si>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</si>
  <si>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</si>
  <si>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</si>
  <si>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</si>
  <si>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</si>
  <si>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</si>
  <si>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</si>
  <si>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</si>
  <si>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</si>
  <si>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</si>
  <si>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</si>
  <si>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</si>
  <si>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</si>
  <si>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</si>
  <si>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</si>
  <si>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</si>
  <si>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</si>
  <si>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</si>
  <si>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</si>
  <si>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</si>
  <si>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</si>
  <si>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</si>
  <si>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</si>
  <si>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</si>
  <si>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</si>
  <si>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</si>
  <si>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</si>
  <si>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</si>
  <si>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</si>
  <si>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</si>
  <si>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</si>
  <si>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</si>
  <si>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</si>
  <si>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</si>
  <si>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</si>
  <si>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</si>
  <si>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</si>
  <si>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</si>
  <si>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</si>
  <si>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</si>
  <si>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</si>
  <si>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</si>
  <si>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</si>
  <si>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</si>
  <si>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</si>
  <si>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</si>
  <si>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</si>
  <si>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</si>
  <si>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</si>
  <si>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</si>
  <si>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</si>
  <si>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</si>
  <si>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</si>
  <si>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</si>
  <si>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</si>
  <si>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</si>
  <si>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</si>
  <si>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</si>
  <si>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</si>
  <si>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</si>
  <si>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</si>
  <si>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</si>
  <si>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</si>
  <si>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</si>
  <si>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</si>
  <si>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</si>
  <si>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</si>
  <si>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</si>
  <si>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</si>
  <si>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</si>
  <si>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</si>
  <si>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</si>
  <si>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</si>
  <si>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</si>
  <si>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</si>
  <si>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</si>
  <si>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</si>
  <si>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</si>
  <si>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</si>
  <si>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</si>
  <si>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</si>
  <si>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</si>
  <si>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</si>
  <si>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</si>
  <si>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</si>
  <si>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</si>
  <si>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</si>
  <si>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</si>
  <si>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</si>
  <si>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</si>
  <si>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</si>
  <si>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</si>
  <si>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</si>
  <si>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</si>
  <si>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</si>
  <si>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</si>
  <si>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</si>
  <si>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</si>
  <si>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</si>
  <si>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</si>
  <si>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</si>
  <si>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</si>
  <si>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</si>
  <si>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</si>
  <si>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</si>
  <si>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</si>
  <si>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</si>
  <si>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</si>
  <si>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</si>
  <si>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</si>
  <si>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</si>
  <si>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</si>
  <si>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</si>
  <si>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</si>
  <si>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</si>
  <si>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</si>
  <si>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</si>
  <si>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</si>
  <si>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</si>
  <si>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</si>
  <si>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</si>
  <si>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73107</t>
  </si>
  <si>
    <t>MAASMECHELEN</t>
  </si>
  <si>
    <t>Cultuurgrond (ha)</t>
  </si>
  <si>
    <t>Paarden&amp;pony's 200 - 600 kg</t>
  </si>
  <si>
    <t>Paarden&amp;pony's &lt; 200 kg</t>
  </si>
  <si>
    <t>vloeibaar gas (MWh)</t>
  </si>
  <si>
    <t>stirlingmotor</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</si>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</sst>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7CEF150-9159-4298-8B8A-EE6005AB200D}"/>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355655.25779346365</c:v>
                </c:pt>
                <c:pt idx="1">
                  <c:v>107315.65247147079</c:v>
                </c:pt>
                <c:pt idx="2">
                  <c:v>2194.5230000000001</c:v>
                </c:pt>
                <c:pt idx="3">
                  <c:v>2948.5343009480325</c:v>
                </c:pt>
                <c:pt idx="4">
                  <c:v>179885.1236767236</c:v>
                </c:pt>
                <c:pt idx="5">
                  <c:v>304202.98842757277</c:v>
                </c:pt>
                <c:pt idx="6">
                  <c:v>5414.2749843703023</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355655.25779346365</c:v>
                </c:pt>
                <c:pt idx="1">
                  <c:v>107315.65247147079</c:v>
                </c:pt>
                <c:pt idx="2">
                  <c:v>2194.5230000000001</c:v>
                </c:pt>
                <c:pt idx="3">
                  <c:v>2948.5343009480325</c:v>
                </c:pt>
                <c:pt idx="4">
                  <c:v>179885.1236767236</c:v>
                </c:pt>
                <c:pt idx="5">
                  <c:v>304202.98842757277</c:v>
                </c:pt>
                <c:pt idx="6">
                  <c:v>5414.2749843703023</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75965.96686619609</c:v>
                </c:pt>
                <c:pt idx="2">
                  <c:v>20968.21153944439</c:v>
                </c:pt>
                <c:pt idx="3">
                  <c:v>454.89371157714527</c:v>
                </c:pt>
                <c:pt idx="4">
                  <c:v>744.41409684886821</c:v>
                </c:pt>
                <c:pt idx="5">
                  <c:v>38357.618488412358</c:v>
                </c:pt>
                <c:pt idx="6">
                  <c:v>76969.059801969299</c:v>
                </c:pt>
                <c:pt idx="7">
                  <c:v>1382.2925454370579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75965.96686619609</c:v>
                </c:pt>
                <c:pt idx="2">
                  <c:v>20968.21153944439</c:v>
                </c:pt>
                <c:pt idx="3">
                  <c:v>454.89371157714527</c:v>
                </c:pt>
                <c:pt idx="4">
                  <c:v>744.41409684886821</c:v>
                </c:pt>
                <c:pt idx="5">
                  <c:v>38357.618488412358</c:v>
                </c:pt>
                <c:pt idx="6">
                  <c:v>76969.059801969299</c:v>
                </c:pt>
                <c:pt idx="7">
                  <c:v>1382.2925454370579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73107</v>
      </c>
      <c r="B6" s="385"/>
      <c r="C6" s="386"/>
    </row>
    <row r="7" spans="1:7" s="383" customFormat="1" ht="15.75" customHeight="1">
      <c r="A7" s="387" t="str">
        <f>txtMunicipality</f>
        <v>MAASMECHELEN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0.20728591661019058</v>
      </c>
      <c r="C17" s="498">
        <f ca="1">'EF ele_warmte'!B22</f>
        <v>0.22444444444444447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0.20728591661019058</v>
      </c>
      <c r="C29" s="499">
        <f ca="1">'EF ele_warmte'!B22</f>
        <v>0.22444444444444447</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14754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2052</v>
      </c>
      <c r="C14" s="327"/>
      <c r="D14" s="327"/>
      <c r="E14" s="327"/>
      <c r="F14" s="327"/>
    </row>
    <row r="15" spans="1:6">
      <c r="A15" s="1258" t="s">
        <v>177</v>
      </c>
      <c r="B15" s="1259">
        <v>7</v>
      </c>
      <c r="C15" s="327"/>
      <c r="D15" s="327"/>
      <c r="E15" s="327"/>
      <c r="F15" s="327"/>
    </row>
    <row r="16" spans="1:6">
      <c r="A16" s="1258" t="s">
        <v>6</v>
      </c>
      <c r="B16" s="1259">
        <v>425</v>
      </c>
      <c r="C16" s="327"/>
      <c r="D16" s="327"/>
      <c r="E16" s="327"/>
      <c r="F16" s="327"/>
    </row>
    <row r="17" spans="1:6">
      <c r="A17" s="1258" t="s">
        <v>7</v>
      </c>
      <c r="B17" s="1259">
        <v>138</v>
      </c>
      <c r="C17" s="327"/>
      <c r="D17" s="327"/>
      <c r="E17" s="327"/>
      <c r="F17" s="327"/>
    </row>
    <row r="18" spans="1:6">
      <c r="A18" s="1258" t="s">
        <v>8</v>
      </c>
      <c r="B18" s="1259">
        <v>360</v>
      </c>
      <c r="C18" s="327"/>
      <c r="D18" s="327"/>
      <c r="E18" s="327"/>
      <c r="F18" s="327"/>
    </row>
    <row r="19" spans="1:6">
      <c r="A19" s="1258" t="s">
        <v>9</v>
      </c>
      <c r="B19" s="1259">
        <v>337</v>
      </c>
      <c r="C19" s="327"/>
      <c r="D19" s="327"/>
      <c r="E19" s="327"/>
      <c r="F19" s="327"/>
    </row>
    <row r="20" spans="1:6">
      <c r="A20" s="1258" t="s">
        <v>10</v>
      </c>
      <c r="B20" s="1259">
        <v>255</v>
      </c>
      <c r="C20" s="327"/>
      <c r="D20" s="327"/>
      <c r="E20" s="327"/>
      <c r="F20" s="327"/>
    </row>
    <row r="21" spans="1:6">
      <c r="A21" s="1258" t="s">
        <v>11</v>
      </c>
      <c r="B21" s="1259">
        <v>1989</v>
      </c>
      <c r="C21" s="327"/>
      <c r="D21" s="327"/>
      <c r="E21" s="327"/>
      <c r="F21" s="327"/>
    </row>
    <row r="22" spans="1:6">
      <c r="A22" s="1258" t="s">
        <v>12</v>
      </c>
      <c r="B22" s="1259">
        <v>2384</v>
      </c>
      <c r="C22" s="327"/>
      <c r="D22" s="327"/>
      <c r="E22" s="327"/>
      <c r="F22" s="327"/>
    </row>
    <row r="23" spans="1:6">
      <c r="A23" s="1258" t="s">
        <v>13</v>
      </c>
      <c r="B23" s="1259">
        <v>52</v>
      </c>
      <c r="C23" s="327"/>
      <c r="D23" s="327"/>
      <c r="E23" s="327"/>
      <c r="F23" s="327"/>
    </row>
    <row r="24" spans="1:6">
      <c r="A24" s="1258" t="s">
        <v>14</v>
      </c>
      <c r="B24" s="1259">
        <v>3</v>
      </c>
      <c r="C24" s="327"/>
      <c r="D24" s="327"/>
      <c r="E24" s="327"/>
      <c r="F24" s="327"/>
    </row>
    <row r="25" spans="1:6">
      <c r="A25" s="1258" t="s">
        <v>15</v>
      </c>
      <c r="B25" s="1259">
        <v>357</v>
      </c>
      <c r="C25" s="327"/>
      <c r="D25" s="327"/>
      <c r="E25" s="327"/>
      <c r="F25" s="327"/>
    </row>
    <row r="26" spans="1:6">
      <c r="A26" s="1258" t="s">
        <v>16</v>
      </c>
      <c r="B26" s="1259">
        <v>13</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25</v>
      </c>
      <c r="C29" s="327"/>
      <c r="D29" s="327"/>
      <c r="E29" s="327"/>
      <c r="F29" s="327"/>
    </row>
    <row r="30" spans="1:6">
      <c r="A30" s="1253" t="s">
        <v>906</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25840</v>
      </c>
    </row>
    <row r="36" spans="1:6">
      <c r="A36" s="1258" t="s">
        <v>24</v>
      </c>
      <c r="B36" s="1258" t="s">
        <v>26</v>
      </c>
      <c r="C36" s="1259">
        <v>0</v>
      </c>
      <c r="D36" s="1259">
        <v>0</v>
      </c>
      <c r="E36" s="1259">
        <v>36</v>
      </c>
      <c r="F36" s="1259">
        <v>285431</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13799</v>
      </c>
    </row>
    <row r="39" spans="1:6">
      <c r="A39" s="1258" t="s">
        <v>29</v>
      </c>
      <c r="B39" s="1258" t="s">
        <v>30</v>
      </c>
      <c r="C39" s="1259">
        <v>7829</v>
      </c>
      <c r="D39" s="1259">
        <v>149208282</v>
      </c>
      <c r="E39" s="1259">
        <v>15050</v>
      </c>
      <c r="F39" s="1259">
        <v>53888911</v>
      </c>
    </row>
    <row r="40" spans="1:6">
      <c r="A40" s="1258" t="s">
        <v>29</v>
      </c>
      <c r="B40" s="1258" t="s">
        <v>28</v>
      </c>
      <c r="C40" s="1259">
        <v>0</v>
      </c>
      <c r="D40" s="1259">
        <v>0</v>
      </c>
      <c r="E40" s="1259">
        <v>0</v>
      </c>
      <c r="F40" s="1259">
        <v>0</v>
      </c>
    </row>
    <row r="41" spans="1:6">
      <c r="A41" s="1258" t="s">
        <v>31</v>
      </c>
      <c r="B41" s="1258" t="s">
        <v>32</v>
      </c>
      <c r="C41" s="1259">
        <v>56</v>
      </c>
      <c r="D41" s="1259">
        <v>2150481</v>
      </c>
      <c r="E41" s="1259">
        <v>145</v>
      </c>
      <c r="F41" s="1259">
        <v>2089633</v>
      </c>
    </row>
    <row r="42" spans="1:6">
      <c r="A42" s="1258" t="s">
        <v>31</v>
      </c>
      <c r="B42" s="1258" t="s">
        <v>33</v>
      </c>
      <c r="C42" s="1259">
        <v>3</v>
      </c>
      <c r="D42" s="1259">
        <v>1025107</v>
      </c>
      <c r="E42" s="1259">
        <v>4</v>
      </c>
      <c r="F42" s="1259">
        <v>18717154</v>
      </c>
    </row>
    <row r="43" spans="1:6">
      <c r="A43" s="1258" t="s">
        <v>31</v>
      </c>
      <c r="B43" s="1258" t="s">
        <v>34</v>
      </c>
      <c r="C43" s="1259">
        <v>0</v>
      </c>
      <c r="D43" s="1259">
        <v>0</v>
      </c>
      <c r="E43" s="1259">
        <v>0</v>
      </c>
      <c r="F43" s="1259">
        <v>0</v>
      </c>
    </row>
    <row r="44" spans="1:6">
      <c r="A44" s="1258" t="s">
        <v>31</v>
      </c>
      <c r="B44" s="1258" t="s">
        <v>35</v>
      </c>
      <c r="C44" s="1259">
        <v>5</v>
      </c>
      <c r="D44" s="1259">
        <v>2357611</v>
      </c>
      <c r="E44" s="1259">
        <v>19</v>
      </c>
      <c r="F44" s="1259">
        <v>2917615</v>
      </c>
    </row>
    <row r="45" spans="1:6">
      <c r="A45" s="1258" t="s">
        <v>31</v>
      </c>
      <c r="B45" s="1258" t="s">
        <v>36</v>
      </c>
      <c r="C45" s="1259">
        <v>0</v>
      </c>
      <c r="D45" s="1259">
        <v>0</v>
      </c>
      <c r="E45" s="1259">
        <v>8</v>
      </c>
      <c r="F45" s="1259">
        <v>12457257</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296372</v>
      </c>
    </row>
    <row r="48" spans="1:6">
      <c r="A48" s="1258" t="s">
        <v>31</v>
      </c>
      <c r="B48" s="1258" t="s">
        <v>28</v>
      </c>
      <c r="C48" s="1259">
        <v>5</v>
      </c>
      <c r="D48" s="1259">
        <v>1373182</v>
      </c>
      <c r="E48" s="1259">
        <v>3</v>
      </c>
      <c r="F48" s="1259">
        <v>265960</v>
      </c>
    </row>
    <row r="49" spans="1:6">
      <c r="A49" s="1258" t="s">
        <v>31</v>
      </c>
      <c r="B49" s="1258" t="s">
        <v>39</v>
      </c>
      <c r="C49" s="1259">
        <v>0</v>
      </c>
      <c r="D49" s="1259">
        <v>0</v>
      </c>
      <c r="E49" s="1259">
        <v>9</v>
      </c>
      <c r="F49" s="1259">
        <v>391361</v>
      </c>
    </row>
    <row r="50" spans="1:6">
      <c r="A50" s="1258" t="s">
        <v>31</v>
      </c>
      <c r="B50" s="1258" t="s">
        <v>40</v>
      </c>
      <c r="C50" s="1259">
        <v>20</v>
      </c>
      <c r="D50" s="1259">
        <v>36924445</v>
      </c>
      <c r="E50" s="1259">
        <v>39</v>
      </c>
      <c r="F50" s="1259">
        <v>32870831</v>
      </c>
    </row>
    <row r="51" spans="1:6">
      <c r="A51" s="1258" t="s">
        <v>41</v>
      </c>
      <c r="B51" s="1258" t="s">
        <v>42</v>
      </c>
      <c r="C51" s="1259">
        <v>10</v>
      </c>
      <c r="D51" s="1259">
        <v>242025</v>
      </c>
      <c r="E51" s="1259">
        <v>47</v>
      </c>
      <c r="F51" s="1259">
        <v>586302</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168</v>
      </c>
      <c r="F54" s="1259">
        <v>2194523</v>
      </c>
    </row>
    <row r="55" spans="1:6">
      <c r="A55" s="1258" t="s">
        <v>45</v>
      </c>
      <c r="B55" s="1258" t="s">
        <v>28</v>
      </c>
      <c r="C55" s="1259">
        <v>0</v>
      </c>
      <c r="D55" s="1259">
        <v>0</v>
      </c>
      <c r="E55" s="1259">
        <v>0</v>
      </c>
      <c r="F55" s="1259">
        <v>0</v>
      </c>
    </row>
    <row r="56" spans="1:6">
      <c r="A56" s="1258" t="s">
        <v>47</v>
      </c>
      <c r="B56" s="1258" t="s">
        <v>28</v>
      </c>
      <c r="C56" s="1259">
        <v>242</v>
      </c>
      <c r="D56" s="1259">
        <v>25743309</v>
      </c>
      <c r="E56" s="1259">
        <v>276</v>
      </c>
      <c r="F56" s="1259">
        <v>2391734</v>
      </c>
    </row>
    <row r="57" spans="1:6">
      <c r="A57" s="1258" t="s">
        <v>48</v>
      </c>
      <c r="B57" s="1258" t="s">
        <v>49</v>
      </c>
      <c r="C57" s="1259">
        <v>64</v>
      </c>
      <c r="D57" s="1259">
        <v>2255028</v>
      </c>
      <c r="E57" s="1259">
        <v>201</v>
      </c>
      <c r="F57" s="1259">
        <v>12451311</v>
      </c>
    </row>
    <row r="58" spans="1:6">
      <c r="A58" s="1258" t="s">
        <v>48</v>
      </c>
      <c r="B58" s="1258" t="s">
        <v>50</v>
      </c>
      <c r="C58" s="1259">
        <v>28</v>
      </c>
      <c r="D58" s="1259">
        <v>1288865</v>
      </c>
      <c r="E58" s="1259">
        <v>62</v>
      </c>
      <c r="F58" s="1259">
        <v>770762</v>
      </c>
    </row>
    <row r="59" spans="1:6">
      <c r="A59" s="1258" t="s">
        <v>48</v>
      </c>
      <c r="B59" s="1258" t="s">
        <v>51</v>
      </c>
      <c r="C59" s="1259">
        <v>185</v>
      </c>
      <c r="D59" s="1259">
        <v>14556260</v>
      </c>
      <c r="E59" s="1259">
        <v>467</v>
      </c>
      <c r="F59" s="1259">
        <v>22226859</v>
      </c>
    </row>
    <row r="60" spans="1:6">
      <c r="A60" s="1258" t="s">
        <v>48</v>
      </c>
      <c r="B60" s="1258" t="s">
        <v>52</v>
      </c>
      <c r="C60" s="1259">
        <v>84</v>
      </c>
      <c r="D60" s="1259">
        <v>7108978</v>
      </c>
      <c r="E60" s="1259">
        <v>176</v>
      </c>
      <c r="F60" s="1259">
        <v>7377859</v>
      </c>
    </row>
    <row r="61" spans="1:6">
      <c r="A61" s="1258" t="s">
        <v>48</v>
      </c>
      <c r="B61" s="1258" t="s">
        <v>53</v>
      </c>
      <c r="C61" s="1259">
        <v>161</v>
      </c>
      <c r="D61" s="1259">
        <v>10960113</v>
      </c>
      <c r="E61" s="1259">
        <v>679</v>
      </c>
      <c r="F61" s="1259">
        <v>12871244</v>
      </c>
    </row>
    <row r="62" spans="1:6">
      <c r="A62" s="1258" t="s">
        <v>48</v>
      </c>
      <c r="B62" s="1258" t="s">
        <v>54</v>
      </c>
      <c r="C62" s="1259">
        <v>14</v>
      </c>
      <c r="D62" s="1259">
        <v>2020742</v>
      </c>
      <c r="E62" s="1259">
        <v>32</v>
      </c>
      <c r="F62" s="1259">
        <v>1438917</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1564</v>
      </c>
      <c r="E65" s="1259">
        <v>1</v>
      </c>
      <c r="F65" s="1259">
        <v>4131</v>
      </c>
    </row>
    <row r="66" spans="1:6">
      <c r="A66" s="1258" t="s">
        <v>55</v>
      </c>
      <c r="B66" s="1258" t="s">
        <v>57</v>
      </c>
      <c r="C66" s="1259">
        <v>0</v>
      </c>
      <c r="D66" s="1259">
        <v>0</v>
      </c>
      <c r="E66" s="1259">
        <v>0</v>
      </c>
      <c r="F66" s="1259">
        <v>0</v>
      </c>
    </row>
    <row r="67" spans="1:6">
      <c r="A67" s="1258" t="s">
        <v>55</v>
      </c>
      <c r="B67" s="1258" t="s">
        <v>58</v>
      </c>
      <c r="C67" s="1259">
        <v>0</v>
      </c>
      <c r="D67" s="1259">
        <v>0</v>
      </c>
      <c r="E67" s="1259">
        <v>4</v>
      </c>
      <c r="F67" s="1259">
        <v>343497</v>
      </c>
    </row>
    <row r="68" spans="1:6">
      <c r="A68" s="1253" t="s">
        <v>55</v>
      </c>
      <c r="B68" s="1253" t="s">
        <v>59</v>
      </c>
      <c r="C68" s="1261">
        <v>7</v>
      </c>
      <c r="D68" s="1261">
        <v>247227</v>
      </c>
      <c r="E68" s="1261">
        <v>23</v>
      </c>
      <c r="F68" s="1261">
        <v>759231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80231751</v>
      </c>
      <c r="E73" s="446"/>
      <c r="F73" s="327"/>
    </row>
    <row r="74" spans="1:6">
      <c r="A74" s="1258" t="s">
        <v>63</v>
      </c>
      <c r="B74" s="1258" t="s">
        <v>681</v>
      </c>
      <c r="C74" s="1271" t="s">
        <v>682</v>
      </c>
      <c r="D74" s="1259">
        <v>3485353.7998049688</v>
      </c>
      <c r="E74" s="446"/>
      <c r="F74" s="327"/>
    </row>
    <row r="75" spans="1:6">
      <c r="A75" s="1258" t="s">
        <v>64</v>
      </c>
      <c r="B75" s="1258" t="s">
        <v>679</v>
      </c>
      <c r="C75" s="1271" t="s">
        <v>683</v>
      </c>
      <c r="D75" s="1259">
        <v>53234102</v>
      </c>
      <c r="E75" s="446"/>
      <c r="F75" s="327"/>
    </row>
    <row r="76" spans="1:6">
      <c r="A76" s="1258" t="s">
        <v>64</v>
      </c>
      <c r="B76" s="1258" t="s">
        <v>681</v>
      </c>
      <c r="C76" s="1271" t="s">
        <v>684</v>
      </c>
      <c r="D76" s="1259">
        <v>108135.79980496853</v>
      </c>
      <c r="E76" s="446"/>
      <c r="F76" s="327"/>
    </row>
    <row r="77" spans="1:6">
      <c r="A77" s="1258" t="s">
        <v>65</v>
      </c>
      <c r="B77" s="1258" t="s">
        <v>679</v>
      </c>
      <c r="C77" s="1271" t="s">
        <v>685</v>
      </c>
      <c r="D77" s="1259">
        <v>160222975</v>
      </c>
      <c r="E77" s="446"/>
      <c r="F77" s="327"/>
    </row>
    <row r="78" spans="1:6">
      <c r="A78" s="1253" t="s">
        <v>65</v>
      </c>
      <c r="B78" s="1253" t="s">
        <v>681</v>
      </c>
      <c r="C78" s="1253" t="s">
        <v>686</v>
      </c>
      <c r="D78" s="1261">
        <v>33572519</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1432998.4003900629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7376.8085383437638</v>
      </c>
      <c r="C91" s="327"/>
      <c r="D91" s="327"/>
      <c r="E91" s="327"/>
      <c r="F91" s="327"/>
    </row>
    <row r="92" spans="1:6">
      <c r="A92" s="1253" t="s">
        <v>68</v>
      </c>
      <c r="B92" s="1254">
        <v>4638.9624601181431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3400</v>
      </c>
      <c r="C97" s="327"/>
      <c r="D97" s="327"/>
      <c r="E97" s="327"/>
      <c r="F97" s="327"/>
    </row>
    <row r="98" spans="1:6">
      <c r="A98" s="1258" t="s">
        <v>71</v>
      </c>
      <c r="B98" s="1259">
        <v>6</v>
      </c>
      <c r="C98" s="327"/>
      <c r="D98" s="327"/>
      <c r="E98" s="327"/>
      <c r="F98" s="327"/>
    </row>
    <row r="99" spans="1:6">
      <c r="A99" s="1258" t="s">
        <v>72</v>
      </c>
      <c r="B99" s="1259">
        <v>67</v>
      </c>
      <c r="C99" s="327"/>
      <c r="D99" s="327"/>
      <c r="E99" s="327"/>
      <c r="F99" s="327"/>
    </row>
    <row r="100" spans="1:6">
      <c r="A100" s="1258" t="s">
        <v>73</v>
      </c>
      <c r="B100" s="1259">
        <v>207</v>
      </c>
      <c r="C100" s="327"/>
      <c r="D100" s="327"/>
      <c r="E100" s="327"/>
      <c r="F100" s="327"/>
    </row>
    <row r="101" spans="1:6">
      <c r="A101" s="1258" t="s">
        <v>74</v>
      </c>
      <c r="B101" s="1259">
        <v>62</v>
      </c>
      <c r="C101" s="327"/>
      <c r="D101" s="327"/>
      <c r="E101" s="327"/>
      <c r="F101" s="327"/>
    </row>
    <row r="102" spans="1:6">
      <c r="A102" s="1258" t="s">
        <v>75</v>
      </c>
      <c r="B102" s="1259">
        <v>166</v>
      </c>
      <c r="C102" s="327"/>
      <c r="D102" s="327"/>
      <c r="E102" s="327"/>
      <c r="F102" s="327"/>
    </row>
    <row r="103" spans="1:6">
      <c r="A103" s="1258" t="s">
        <v>76</v>
      </c>
      <c r="B103" s="1259">
        <v>284</v>
      </c>
      <c r="C103" s="327"/>
      <c r="D103" s="327"/>
      <c r="E103" s="327"/>
      <c r="F103" s="327"/>
    </row>
    <row r="104" spans="1:6">
      <c r="A104" s="1258" t="s">
        <v>77</v>
      </c>
      <c r="B104" s="1259">
        <v>8734</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8</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371</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193630.86946323267</v>
      </c>
      <c r="C3" s="43" t="s">
        <v>163</v>
      </c>
      <c r="D3" s="43"/>
      <c r="E3" s="156"/>
      <c r="F3" s="43"/>
      <c r="G3" s="43"/>
      <c r="H3" s="43"/>
      <c r="I3" s="43"/>
      <c r="J3" s="43"/>
      <c r="K3" s="96"/>
    </row>
    <row r="4" spans="1:11">
      <c r="A4" s="353" t="s">
        <v>164</v>
      </c>
      <c r="B4" s="49">
        <f>IF(ISERROR('SEAP template'!B78+'SEAP template'!C78),0,'SEAP template'!B78+'SEAP template'!C78)</f>
        <v>12020.270998461907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1.01</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0.20728591661019058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5.0500000000000007</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22.5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0.22444444444444447</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2194.5230000000001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2194.5230000000001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0.20728591661019058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454.89371157714527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53888.911</v>
      </c>
      <c r="C5" s="17">
        <f>IF(ISERROR('Eigen informatie GS &amp; warmtenet'!B57),0,'Eigen informatie GS &amp; warmtenet'!B57)</f>
        <v>0</v>
      </c>
      <c r="D5" s="30">
        <f>(SUM(HH_hh_gas_kWh,HH_rest_gas_kWh)/1000)*0.902</f>
        <v>134585.870364</v>
      </c>
      <c r="E5" s="17">
        <f>B32*B41</f>
        <v>4188.1577533144145</v>
      </c>
      <c r="F5" s="17">
        <f>B36*B45</f>
        <v>128348.07432950837</v>
      </c>
      <c r="G5" s="18"/>
      <c r="H5" s="17"/>
      <c r="I5" s="17"/>
      <c r="J5" s="17">
        <f>B35*B44+C35*C44</f>
        <v>2430.6569644026513</v>
      </c>
      <c r="K5" s="17"/>
      <c r="L5" s="17"/>
      <c r="M5" s="17"/>
      <c r="N5" s="17">
        <f>B34*B43+C34*C43</f>
        <v>23804.178843894511</v>
      </c>
      <c r="O5" s="17">
        <f>B52*B53*B54</f>
        <v>594.06666666666672</v>
      </c>
      <c r="P5" s="17">
        <f>B60*B61*B62/1000-B60*B61*B62/1000/B63</f>
        <v>438.5333333333333</v>
      </c>
    </row>
    <row r="6" spans="1:16">
      <c r="A6" s="16" t="s">
        <v>592</v>
      </c>
      <c r="B6" s="733">
        <f>kWh_PV_kleiner_dan_10kW</f>
        <v>7376.8085383437638</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61265.719538343765</v>
      </c>
      <c r="C8" s="21">
        <f>C5</f>
        <v>0</v>
      </c>
      <c r="D8" s="21">
        <f>D5</f>
        <v>134585.870364</v>
      </c>
      <c r="E8" s="21">
        <f>E5</f>
        <v>4188.1577533144145</v>
      </c>
      <c r="F8" s="21">
        <f>F5</f>
        <v>128348.07432950837</v>
      </c>
      <c r="G8" s="21"/>
      <c r="H8" s="21"/>
      <c r="I8" s="21"/>
      <c r="J8" s="21">
        <f>J5</f>
        <v>2430.6569644026513</v>
      </c>
      <c r="K8" s="21"/>
      <c r="L8" s="21">
        <f>L5</f>
        <v>0</v>
      </c>
      <c r="M8" s="21">
        <f>M5</f>
        <v>0</v>
      </c>
      <c r="N8" s="21">
        <f>N5</f>
        <v>23804.178843894511</v>
      </c>
      <c r="O8" s="21">
        <f>O5</f>
        <v>594.06666666666672</v>
      </c>
      <c r="P8" s="21">
        <f>P5</f>
        <v>438.5333333333333</v>
      </c>
    </row>
    <row r="9" spans="1:16">
      <c r="B9" s="19"/>
      <c r="C9" s="19"/>
      <c r="D9" s="257"/>
      <c r="E9" s="19"/>
      <c r="F9" s="19"/>
      <c r="G9" s="19"/>
      <c r="H9" s="19"/>
      <c r="I9" s="19"/>
      <c r="J9" s="19"/>
      <c r="K9" s="19"/>
      <c r="L9" s="19"/>
      <c r="M9" s="19"/>
      <c r="N9" s="19"/>
      <c r="O9" s="19"/>
      <c r="P9" s="19"/>
    </row>
    <row r="10" spans="1:16">
      <c r="A10" s="24" t="s">
        <v>207</v>
      </c>
      <c r="B10" s="25">
        <f ca="1">'EF ele_warmte'!B12</f>
        <v>0.20728591661019058</v>
      </c>
      <c r="C10" s="25">
        <f ca="1">'EF ele_warmte'!B22</f>
        <v>0.22444444444444447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12699.52083128845</v>
      </c>
      <c r="C12" s="23">
        <f ca="1">C10*C8</f>
        <v>0</v>
      </c>
      <c r="D12" s="23">
        <f>D8*D10</f>
        <v>27186.345813528002</v>
      </c>
      <c r="E12" s="23">
        <f>E10*E8</f>
        <v>950.71181000237209</v>
      </c>
      <c r="F12" s="23">
        <f>F10*F8</f>
        <v>34268.935845978733</v>
      </c>
      <c r="G12" s="23"/>
      <c r="H12" s="23"/>
      <c r="I12" s="23"/>
      <c r="J12" s="23">
        <f>J10*J8</f>
        <v>860.45256539853847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14754</v>
      </c>
      <c r="C26" s="36"/>
      <c r="D26" s="227"/>
    </row>
    <row r="27" spans="1:5" s="15" customFormat="1">
      <c r="A27" s="229" t="s">
        <v>697</v>
      </c>
      <c r="B27" s="37">
        <f>SUM(HH_hh_gas_aantal,HH_rest_gas_aantal)</f>
        <v>7829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7437.55</v>
      </c>
      <c r="C31" s="34" t="s">
        <v>104</v>
      </c>
      <c r="D31" s="173"/>
    </row>
    <row r="32" spans="1:5">
      <c r="A32" s="170" t="s">
        <v>72</v>
      </c>
      <c r="B32" s="33">
        <f>IF((B21*($B$26-($B$27-0.05*$B$27)-$B$60))&lt;0,0,B21*($B$26-($B$27-0.05*$B$27)-$B$60))</f>
        <v>182.63938078176037</v>
      </c>
      <c r="C32" s="34" t="s">
        <v>104</v>
      </c>
      <c r="D32" s="173"/>
    </row>
    <row r="33" spans="1:6">
      <c r="A33" s="170" t="s">
        <v>73</v>
      </c>
      <c r="B33" s="33">
        <f>IF((B22*($B$26-($B$27-0.05*$B$27)-$B$60))&lt;0,0,B22*($B$26-($B$27-0.05*$B$27)-$B$60))</f>
        <v>1229.3772393424115</v>
      </c>
      <c r="C33" s="34" t="s">
        <v>104</v>
      </c>
      <c r="D33" s="173"/>
    </row>
    <row r="34" spans="1:6">
      <c r="A34" s="170" t="s">
        <v>74</v>
      </c>
      <c r="B34" s="33">
        <f>IF((B24*($B$26-($B$27-0.05*$B$27)-$B$60))&lt;0,0,B24*($B$26-($B$27-0.05*$B$27)-$B$60))</f>
        <v>311.90966923688234</v>
      </c>
      <c r="C34" s="33">
        <f>B26*C24</f>
        <v>3018.0792377950033</v>
      </c>
      <c r="D34" s="232"/>
    </row>
    <row r="35" spans="1:6">
      <c r="A35" s="170" t="s">
        <v>76</v>
      </c>
      <c r="B35" s="33">
        <f>IF((B19*($B$26-($B$27-0.05*$B$27)-$B$60))&lt;0,0,B19*($B$26-($B$27-0.05*$B$27)-$B$60))</f>
        <v>115.91587860521396</v>
      </c>
      <c r="C35" s="33">
        <f>B35/2</f>
        <v>57.957939302606981</v>
      </c>
      <c r="D35" s="232"/>
    </row>
    <row r="36" spans="1:6">
      <c r="A36" s="170" t="s">
        <v>77</v>
      </c>
      <c r="B36" s="33">
        <f>IF((B18*($B$26-($B$27-0.05*$B$27)-$B$60))&lt;0,0,B18*($B$26-($B$27-0.05*$B$27)-$B$60))</f>
        <v>5453.6078320337319</v>
      </c>
      <c r="C36" s="34" t="s">
        <v>104</v>
      </c>
      <c r="D36" s="173"/>
    </row>
    <row r="37" spans="1:6">
      <c r="A37" s="170" t="s">
        <v>78</v>
      </c>
      <c r="B37" s="33">
        <f>B60</f>
        <v>23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380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57136.952000000005</v>
      </c>
      <c r="C5" s="17">
        <f>IF(ISERROR('Eigen informatie GS &amp; warmtenet'!B58),0,'Eigen informatie GS &amp; warmtenet'!B58)</f>
        <v>0</v>
      </c>
      <c r="D5" s="30">
        <f>SUM(D6:D12)</f>
        <v>34447.367372000001</v>
      </c>
      <c r="E5" s="17">
        <f>SUM(E6:E12)</f>
        <v>311.61564871893057</v>
      </c>
      <c r="F5" s="17">
        <f>SUM(F6:F12)</f>
        <v>7805.6294714209516</v>
      </c>
      <c r="G5" s="18"/>
      <c r="H5" s="17"/>
      <c r="I5" s="17"/>
      <c r="J5" s="17">
        <f>SUM(J6:J12)</f>
        <v>31.971868755189696</v>
      </c>
      <c r="K5" s="17"/>
      <c r="L5" s="17"/>
      <c r="M5" s="17"/>
      <c r="N5" s="17">
        <f>SUM(N6:N12)</f>
        <v>7582.1161105757183</v>
      </c>
      <c r="O5" s="17">
        <f>B38*B39*B40</f>
        <v>0</v>
      </c>
      <c r="P5" s="17">
        <f>B46*B47*B48/1000-B46*B47*B48/1000/B49</f>
        <v>0</v>
      </c>
      <c r="R5" s="32"/>
    </row>
    <row r="6" spans="1:18">
      <c r="A6" s="32" t="s">
        <v>53</v>
      </c>
      <c r="B6" s="37">
        <f>B26</f>
        <v>12871.244000000001</v>
      </c>
      <c r="C6" s="33"/>
      <c r="D6" s="37">
        <f>IF(ISERROR(TER_kantoor_gas_kWh/1000),0,TER_kantoor_gas_kWh/1000)*0.902</f>
        <v>9886.0219259999994</v>
      </c>
      <c r="E6" s="33">
        <f>$C$26*'E Balans VL '!I12/100/3.6*1000000</f>
        <v>108.64452554146956</v>
      </c>
      <c r="F6" s="33">
        <f>$C$26*('E Balans VL '!L12+'E Balans VL '!N12)/100/3.6*1000000</f>
        <v>1725.8913088835725</v>
      </c>
      <c r="G6" s="34"/>
      <c r="H6" s="33"/>
      <c r="I6" s="33"/>
      <c r="J6" s="33">
        <f>$C$26*('E Balans VL '!D12+'E Balans VL '!E12)/100/3.6*1000000</f>
        <v>0</v>
      </c>
      <c r="K6" s="33"/>
      <c r="L6" s="33"/>
      <c r="M6" s="33"/>
      <c r="N6" s="33">
        <f>$C$26*'E Balans VL '!Y12/100/3.6*1000000</f>
        <v>113.19861015724052</v>
      </c>
      <c r="O6" s="33"/>
      <c r="P6" s="33"/>
      <c r="R6" s="32"/>
    </row>
    <row r="7" spans="1:18">
      <c r="A7" s="32" t="s">
        <v>52</v>
      </c>
      <c r="B7" s="37">
        <f t="shared" ref="B7:B12" si="0">B27</f>
        <v>7377.8590000000004</v>
      </c>
      <c r="C7" s="33"/>
      <c r="D7" s="37">
        <f>IF(ISERROR(TER_horeca_gas_kWh/1000),0,TER_horeca_gas_kWh/1000)*0.902</f>
        <v>6412.2981559999998</v>
      </c>
      <c r="E7" s="33">
        <f>$C$27*'E Balans VL '!I9/100/3.6*1000000</f>
        <v>97.004116500079789</v>
      </c>
      <c r="F7" s="33">
        <f>$C$27*('E Balans VL '!L9+'E Balans VL '!N9)/100/3.6*1000000</f>
        <v>1852.8559411309909</v>
      </c>
      <c r="G7" s="34"/>
      <c r="H7" s="33"/>
      <c r="I7" s="33"/>
      <c r="J7" s="33">
        <f>$C$27*('E Balans VL '!D9+'E Balans VL '!E9)/100/3.6*1000000</f>
        <v>0</v>
      </c>
      <c r="K7" s="33"/>
      <c r="L7" s="33"/>
      <c r="M7" s="33"/>
      <c r="N7" s="33">
        <f>$C$27*'E Balans VL '!Y9/100/3.6*1000000</f>
        <v>2.0085315504412788</v>
      </c>
      <c r="O7" s="33"/>
      <c r="P7" s="33"/>
      <c r="R7" s="32"/>
    </row>
    <row r="8" spans="1:18">
      <c r="A8" s="6" t="s">
        <v>51</v>
      </c>
      <c r="B8" s="37">
        <f t="shared" si="0"/>
        <v>22226.859</v>
      </c>
      <c r="C8" s="33"/>
      <c r="D8" s="37">
        <f>IF(ISERROR(TER_handel_gas_kWh/1000),0,TER_handel_gas_kWh/1000)*0.902</f>
        <v>13129.746520000001</v>
      </c>
      <c r="E8" s="33">
        <f>$C$28*'E Balans VL '!I13/100/3.6*1000000</f>
        <v>97.339592134381761</v>
      </c>
      <c r="F8" s="33">
        <f>$C$28*('E Balans VL '!L13+'E Balans VL '!N13)/100/3.6*1000000</f>
        <v>1493.9699201536946</v>
      </c>
      <c r="G8" s="34"/>
      <c r="H8" s="33"/>
      <c r="I8" s="33"/>
      <c r="J8" s="33">
        <f>$C$28*('E Balans VL '!D13+'E Balans VL '!E13)/100/3.6*1000000</f>
        <v>0</v>
      </c>
      <c r="K8" s="33"/>
      <c r="L8" s="33"/>
      <c r="M8" s="33"/>
      <c r="N8" s="33">
        <f>$C$28*'E Balans VL '!Y13/100/3.6*1000000</f>
        <v>65.663815521891209</v>
      </c>
      <c r="O8" s="33"/>
      <c r="P8" s="33"/>
      <c r="R8" s="32"/>
    </row>
    <row r="9" spans="1:18">
      <c r="A9" s="32" t="s">
        <v>50</v>
      </c>
      <c r="B9" s="37">
        <f t="shared" si="0"/>
        <v>770.76199999999994</v>
      </c>
      <c r="C9" s="33"/>
      <c r="D9" s="37">
        <f>IF(ISERROR(TER_gezond_gas_kWh/1000),0,TER_gezond_gas_kWh/1000)*0.902</f>
        <v>1162.5562300000001</v>
      </c>
      <c r="E9" s="33">
        <f>$C$29*'E Balans VL '!I10/100/3.6*1000000</f>
        <v>0.26506845474103813</v>
      </c>
      <c r="F9" s="33">
        <f>$C$29*('E Balans VL '!L10+'E Balans VL '!N10)/100/3.6*1000000</f>
        <v>67.367634679930916</v>
      </c>
      <c r="G9" s="34"/>
      <c r="H9" s="33"/>
      <c r="I9" s="33"/>
      <c r="J9" s="33">
        <f>$C$29*('E Balans VL '!D10+'E Balans VL '!E10)/100/3.6*1000000</f>
        <v>31.971868755189696</v>
      </c>
      <c r="K9" s="33"/>
      <c r="L9" s="33"/>
      <c r="M9" s="33"/>
      <c r="N9" s="33">
        <f>$C$29*'E Balans VL '!Y10/100/3.6*1000000</f>
        <v>8.0811547445720713</v>
      </c>
      <c r="O9" s="33"/>
      <c r="P9" s="33"/>
      <c r="R9" s="32"/>
    </row>
    <row r="10" spans="1:18">
      <c r="A10" s="32" t="s">
        <v>49</v>
      </c>
      <c r="B10" s="37">
        <f t="shared" si="0"/>
        <v>12451.311</v>
      </c>
      <c r="C10" s="33"/>
      <c r="D10" s="37">
        <f>IF(ISERROR(TER_ander_gas_kWh/1000),0,TER_ander_gas_kWh/1000)*0.902</f>
        <v>2034.0352559999999</v>
      </c>
      <c r="E10" s="33">
        <f>$C$30*'E Balans VL '!I14/100/3.6*1000000</f>
        <v>7.405248973526148</v>
      </c>
      <c r="F10" s="33">
        <f>$C$30*('E Balans VL '!L14+'E Balans VL '!N14)/100/3.6*1000000</f>
        <v>2204.5436968019139</v>
      </c>
      <c r="G10" s="34"/>
      <c r="H10" s="33"/>
      <c r="I10" s="33"/>
      <c r="J10" s="33">
        <f>$C$30*('E Balans VL '!D14+'E Balans VL '!E14)/100/3.6*1000000</f>
        <v>0</v>
      </c>
      <c r="K10" s="33"/>
      <c r="L10" s="33"/>
      <c r="M10" s="33"/>
      <c r="N10" s="33">
        <f>$C$30*'E Balans VL '!Y14/100/3.6*1000000</f>
        <v>7393.1639986015734</v>
      </c>
      <c r="O10" s="33"/>
      <c r="P10" s="33"/>
      <c r="R10" s="32"/>
    </row>
    <row r="11" spans="1:18">
      <c r="A11" s="32" t="s">
        <v>54</v>
      </c>
      <c r="B11" s="37">
        <f t="shared" si="0"/>
        <v>1438.9169999999999</v>
      </c>
      <c r="C11" s="33"/>
      <c r="D11" s="37">
        <f>IF(ISERROR(TER_onderwijs_gas_kWh/1000),0,TER_onderwijs_gas_kWh/1000)*0.902</f>
        <v>1822.709284</v>
      </c>
      <c r="E11" s="33">
        <f>$C$31*'E Balans VL '!I11/100/3.6*1000000</f>
        <v>0.95709711473228898</v>
      </c>
      <c r="F11" s="33">
        <f>$C$31*('E Balans VL '!L11+'E Balans VL '!N11)/100/3.6*1000000</f>
        <v>461.00096977084814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57136.952000000005</v>
      </c>
      <c r="C16" s="21">
        <f t="shared" ca="1" si="1"/>
        <v>0</v>
      </c>
      <c r="D16" s="21">
        <f t="shared" ca="1" si="1"/>
        <v>34447.367372000001</v>
      </c>
      <c r="E16" s="21">
        <f t="shared" si="1"/>
        <v>311.61564871893057</v>
      </c>
      <c r="F16" s="21">
        <f t="shared" ca="1" si="1"/>
        <v>7805.6294714209516</v>
      </c>
      <c r="G16" s="21">
        <f t="shared" si="1"/>
        <v>0</v>
      </c>
      <c r="H16" s="21">
        <f t="shared" si="1"/>
        <v>0</v>
      </c>
      <c r="I16" s="21">
        <f t="shared" si="1"/>
        <v>0</v>
      </c>
      <c r="J16" s="21">
        <f t="shared" si="1"/>
        <v>31.971868755189696</v>
      </c>
      <c r="K16" s="21">
        <f t="shared" si="1"/>
        <v>0</v>
      </c>
      <c r="L16" s="21">
        <f t="shared" ca="1" si="1"/>
        <v>0</v>
      </c>
      <c r="M16" s="21">
        <f t="shared" si="1"/>
        <v>0</v>
      </c>
      <c r="N16" s="21">
        <f t="shared" ca="1" si="1"/>
        <v>7582.1161105757183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0.20728591661019058</v>
      </c>
      <c r="C18" s="25">
        <f ca="1">'EF ele_warmte'!B22</f>
        <v>0.22444444444444447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11843.685467632462</v>
      </c>
      <c r="C20" s="23">
        <f t="shared" ref="C20:P20" ca="1" si="2">C16*C18</f>
        <v>0</v>
      </c>
      <c r="D20" s="23">
        <f t="shared" ca="1" si="2"/>
        <v>6958.3682091440005</v>
      </c>
      <c r="E20" s="23">
        <f t="shared" si="2"/>
        <v>70.736752259197246</v>
      </c>
      <c r="F20" s="23">
        <f t="shared" ca="1" si="2"/>
        <v>2084.1030688693941</v>
      </c>
      <c r="G20" s="23">
        <f t="shared" si="2"/>
        <v>0</v>
      </c>
      <c r="H20" s="23">
        <f t="shared" si="2"/>
        <v>0</v>
      </c>
      <c r="I20" s="23">
        <f t="shared" si="2"/>
        <v>0</v>
      </c>
      <c r="J20" s="23">
        <f t="shared" si="2"/>
        <v>11.318041539337152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12871.244000000001</v>
      </c>
      <c r="C26" s="39">
        <f>IF(ISERROR(B26*3.6/1000000/'E Balans VL '!Z12*100),0,B26*3.6/1000000/'E Balans VL '!Z12*100)</f>
        <v>0.26976529512027014</v>
      </c>
      <c r="D26" s="235" t="s">
        <v>647</v>
      </c>
      <c r="F26" s="6"/>
    </row>
    <row r="27" spans="1:18">
      <c r="A27" s="230" t="s">
        <v>52</v>
      </c>
      <c r="B27" s="33">
        <f>IF(ISERROR(TER_horeca_ele_kWh/1000),0,TER_horeca_ele_kWh/1000)</f>
        <v>7377.8590000000004</v>
      </c>
      <c r="C27" s="39">
        <f>IF(ISERROR(B27*3.6/1000000/'E Balans VL '!Z9*100),0,B27*3.6/1000000/'E Balans VL '!Z9*100)</f>
        <v>0.56565918001765159</v>
      </c>
      <c r="D27" s="235" t="s">
        <v>647</v>
      </c>
      <c r="F27" s="6"/>
    </row>
    <row r="28" spans="1:18">
      <c r="A28" s="170" t="s">
        <v>51</v>
      </c>
      <c r="B28" s="33">
        <f>IF(ISERROR(TER_handel_ele_kWh/1000),0,TER_handel_ele_kWh/1000)</f>
        <v>22226.859</v>
      </c>
      <c r="C28" s="39">
        <f>IF(ISERROR(B28*3.6/1000000/'E Balans VL '!Z13*100),0,B28*3.6/1000000/'E Balans VL '!Z13*100)</f>
        <v>0.62705248188963014</v>
      </c>
      <c r="D28" s="235" t="s">
        <v>647</v>
      </c>
      <c r="F28" s="6"/>
    </row>
    <row r="29" spans="1:18">
      <c r="A29" s="230" t="s">
        <v>50</v>
      </c>
      <c r="B29" s="33">
        <f>IF(ISERROR(TER_gezond_ele_kWh/1000),0,TER_gezond_ele_kWh/1000)</f>
        <v>770.76199999999994</v>
      </c>
      <c r="C29" s="39">
        <f>IF(ISERROR(B29*3.6/1000000/'E Balans VL '!Z10*100),0,B29*3.6/1000000/'E Balans VL '!Z10*100)</f>
        <v>8.5583534110124329E-2</v>
      </c>
      <c r="D29" s="235" t="s">
        <v>647</v>
      </c>
      <c r="F29" s="6"/>
    </row>
    <row r="30" spans="1:18">
      <c r="A30" s="230" t="s">
        <v>49</v>
      </c>
      <c r="B30" s="33">
        <f>IF(ISERROR(TER_ander_ele_kWh/1000),0,TER_ander_ele_kWh/1000)</f>
        <v>12451.311</v>
      </c>
      <c r="C30" s="39">
        <f>IF(ISERROR(B30*3.6/1000000/'E Balans VL '!Z14*100),0,B30*3.6/1000000/'E Balans VL '!Z14*100)</f>
        <v>0.89842969474918566</v>
      </c>
      <c r="D30" s="235" t="s">
        <v>647</v>
      </c>
      <c r="F30" s="6"/>
    </row>
    <row r="31" spans="1:18">
      <c r="A31" s="230" t="s">
        <v>54</v>
      </c>
      <c r="B31" s="33">
        <f>IF(ISERROR(TER_onderwijs_ele_kWh/1000),0,TER_onderwijs_ele_kWh/1000)</f>
        <v>1438.9169999999999</v>
      </c>
      <c r="C31" s="39">
        <f>IF(ISERROR(B31*3.6/1000000/'E Balans VL '!Z11*100),0,B31*3.6/1000000/'E Balans VL '!Z11*100)</f>
        <v>0.39885639458864114</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70006.183000000005</v>
      </c>
      <c r="C5" s="17">
        <f>IF(ISERROR('Eigen informatie GS &amp; warmtenet'!B59),0,'Eigen informatie GS &amp; warmtenet'!B59)</f>
        <v>0</v>
      </c>
      <c r="D5" s="30">
        <f>SUM(D6:D15)</f>
        <v>39535.405052000002</v>
      </c>
      <c r="E5" s="17">
        <f>SUM(E6:E15)</f>
        <v>3533.9773573117295</v>
      </c>
      <c r="F5" s="17">
        <f>SUM(F6:F15)</f>
        <v>56304.527553214131</v>
      </c>
      <c r="G5" s="18"/>
      <c r="H5" s="17"/>
      <c r="I5" s="17"/>
      <c r="J5" s="17">
        <f>SUM(J6:J15)</f>
        <v>69.630337725067761</v>
      </c>
      <c r="K5" s="17"/>
      <c r="L5" s="17"/>
      <c r="M5" s="17"/>
      <c r="N5" s="17">
        <f>SUM(N6:N15)</f>
        <v>10435.400376472642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2917.6149999999998</v>
      </c>
      <c r="C8" s="33"/>
      <c r="D8" s="37">
        <f>IF( ISERROR(IND_metaal_Gas_kWH/1000),0,IND_metaal_Gas_kWH/1000)*0.902</f>
        <v>2126.565122</v>
      </c>
      <c r="E8" s="33">
        <f>C30*'E Balans VL '!I18/100/3.6*1000000</f>
        <v>83.804854183210111</v>
      </c>
      <c r="F8" s="33">
        <f>C30*'E Balans VL '!L18/100/3.6*1000000+C30*'E Balans VL '!N18/100/3.6*1000000</f>
        <v>748.31213369936381</v>
      </c>
      <c r="G8" s="34"/>
      <c r="H8" s="33"/>
      <c r="I8" s="33"/>
      <c r="J8" s="40">
        <f>C30*'E Balans VL '!D18/100/3.6*1000000+C30*'E Balans VL '!E18/100/3.6*1000000</f>
        <v>0</v>
      </c>
      <c r="K8" s="33"/>
      <c r="L8" s="33"/>
      <c r="M8" s="33"/>
      <c r="N8" s="33">
        <f>C30*'E Balans VL '!Y18/100/3.6*1000000</f>
        <v>79.219202946004444</v>
      </c>
      <c r="O8" s="33"/>
      <c r="P8" s="33"/>
      <c r="R8" s="32"/>
    </row>
    <row r="9" spans="1:18">
      <c r="A9" s="6" t="s">
        <v>32</v>
      </c>
      <c r="B9" s="37">
        <f t="shared" si="0"/>
        <v>2089.6329999999998</v>
      </c>
      <c r="C9" s="33"/>
      <c r="D9" s="37">
        <f>IF( ISERROR(IND_andere_gas_kWh/1000),0,IND_andere_gas_kWh/1000)*0.902</f>
        <v>1939.7338620000003</v>
      </c>
      <c r="E9" s="33">
        <f>C31*'E Balans VL '!I19/100/3.6*1000000</f>
        <v>565.61227520891225</v>
      </c>
      <c r="F9" s="33">
        <f>C31*'E Balans VL '!L19/100/3.6*1000000+C31*'E Balans VL '!N19/100/3.6*1000000</f>
        <v>1391.9167073631679</v>
      </c>
      <c r="G9" s="34"/>
      <c r="H9" s="33"/>
      <c r="I9" s="33"/>
      <c r="J9" s="40">
        <f>C31*'E Balans VL '!D19/100/3.6*1000000+C31*'E Balans VL '!E19/100/3.6*1000000</f>
        <v>0</v>
      </c>
      <c r="K9" s="33"/>
      <c r="L9" s="33"/>
      <c r="M9" s="33"/>
      <c r="N9" s="33">
        <f>C31*'E Balans VL '!Y19/100/3.6*1000000</f>
        <v>176.6646279120724</v>
      </c>
      <c r="O9" s="33"/>
      <c r="P9" s="33"/>
      <c r="R9" s="32"/>
    </row>
    <row r="10" spans="1:18">
      <c r="A10" s="6" t="s">
        <v>40</v>
      </c>
      <c r="B10" s="37">
        <f t="shared" si="0"/>
        <v>32870.830999999998</v>
      </c>
      <c r="C10" s="33"/>
      <c r="D10" s="37">
        <f>IF( ISERROR(IND_voed_gas_kWh/1000),0,IND_voed_gas_kWh/1000)*0.902</f>
        <v>33305.849390000003</v>
      </c>
      <c r="E10" s="33">
        <f>C32*'E Balans VL '!I20/100/3.6*1000000</f>
        <v>2681.0204951291216</v>
      </c>
      <c r="F10" s="33">
        <f>C32*'E Balans VL '!L20/100/3.6*1000000+C32*'E Balans VL '!N20/100/3.6*1000000</f>
        <v>49013.391324101569</v>
      </c>
      <c r="G10" s="34"/>
      <c r="H10" s="33"/>
      <c r="I10" s="33"/>
      <c r="J10" s="40">
        <f>C32*'E Balans VL '!D20/100/3.6*1000000+C32*'E Balans VL '!E20/100/3.6*1000000</f>
        <v>0.4348411942937534</v>
      </c>
      <c r="K10" s="33"/>
      <c r="L10" s="33"/>
      <c r="M10" s="33"/>
      <c r="N10" s="33">
        <f>C32*'E Balans VL '!Y20/100/3.6*1000000</f>
        <v>9656.290261242093</v>
      </c>
      <c r="O10" s="33"/>
      <c r="P10" s="33"/>
      <c r="R10" s="32"/>
    </row>
    <row r="11" spans="1:18">
      <c r="A11" s="6" t="s">
        <v>39</v>
      </c>
      <c r="B11" s="37">
        <f t="shared" si="0"/>
        <v>391.36099999999999</v>
      </c>
      <c r="C11" s="33"/>
      <c r="D11" s="37">
        <f>IF( ISERROR(IND_textiel_gas_kWh/1000),0,IND_textiel_gas_kWh/1000)*0.902</f>
        <v>0</v>
      </c>
      <c r="E11" s="33">
        <f>C33*'E Balans VL '!I21/100/3.6*1000000</f>
        <v>7.7575757332466216E-2</v>
      </c>
      <c r="F11" s="33">
        <f>C33*'E Balans VL '!L21/100/3.6*1000000+C33*'E Balans VL '!N21/100/3.6*1000000</f>
        <v>14.414297808553842</v>
      </c>
      <c r="G11" s="34"/>
      <c r="H11" s="33"/>
      <c r="I11" s="33"/>
      <c r="J11" s="40">
        <f>C33*'E Balans VL '!D21/100/3.6*1000000+C33*'E Balans VL '!E21/100/3.6*1000000</f>
        <v>0</v>
      </c>
      <c r="K11" s="33"/>
      <c r="L11" s="33"/>
      <c r="M11" s="33"/>
      <c r="N11" s="33">
        <f>C33*'E Balans VL '!Y21/100/3.6*1000000</f>
        <v>1.8197298541064482</v>
      </c>
      <c r="O11" s="33"/>
      <c r="P11" s="33"/>
      <c r="R11" s="32"/>
    </row>
    <row r="12" spans="1:18">
      <c r="A12" s="6" t="s">
        <v>36</v>
      </c>
      <c r="B12" s="37">
        <f t="shared" si="0"/>
        <v>12457.257</v>
      </c>
      <c r="C12" s="33"/>
      <c r="D12" s="37">
        <f>IF( ISERROR(IND_min_gas_kWh/1000),0,IND_min_gas_kWh/1000)*0.902</f>
        <v>0</v>
      </c>
      <c r="E12" s="33">
        <f>C34*'E Balans VL '!I22/100/3.6*1000000</f>
        <v>97.039317709236258</v>
      </c>
      <c r="F12" s="33">
        <f>C34*'E Balans VL '!L22/100/3.6*1000000+C34*'E Balans VL '!N22/100/3.6*1000000</f>
        <v>4698.1118185765963</v>
      </c>
      <c r="G12" s="34"/>
      <c r="H12" s="33"/>
      <c r="I12" s="33"/>
      <c r="J12" s="40">
        <f>C34*'E Balans VL '!D22/100/3.6*1000000+C34*'E Balans VL '!E22/100/3.6*1000000</f>
        <v>68.51382432555269</v>
      </c>
      <c r="K12" s="33"/>
      <c r="L12" s="33"/>
      <c r="M12" s="33"/>
      <c r="N12" s="33">
        <f>C34*'E Balans VL '!Y22/100/3.6*1000000</f>
        <v>0</v>
      </c>
      <c r="O12" s="33"/>
      <c r="P12" s="33"/>
      <c r="R12" s="32"/>
    </row>
    <row r="13" spans="1:18">
      <c r="A13" s="6" t="s">
        <v>38</v>
      </c>
      <c r="B13" s="37">
        <f t="shared" si="0"/>
        <v>296.37200000000001</v>
      </c>
      <c r="C13" s="33"/>
      <c r="D13" s="37">
        <f>IF( ISERROR(IND_papier_gas_kWh/1000),0,IND_papier_gas_kWh/1000)*0.902</f>
        <v>0</v>
      </c>
      <c r="E13" s="33">
        <f>C35*'E Balans VL '!I23/100/3.6*1000000</f>
        <v>3.105036623891551</v>
      </c>
      <c r="F13" s="33">
        <f>C35*'E Balans VL '!L23/100/3.6*1000000+C35*'E Balans VL '!N23/100/3.6*1000000</f>
        <v>22.115331170761298</v>
      </c>
      <c r="G13" s="34"/>
      <c r="H13" s="33"/>
      <c r="I13" s="33"/>
      <c r="J13" s="40">
        <f>C35*'E Balans VL '!D23/100/3.6*1000000+C35*'E Balans VL '!E23/100/3.6*1000000</f>
        <v>0</v>
      </c>
      <c r="K13" s="33"/>
      <c r="L13" s="33"/>
      <c r="M13" s="33"/>
      <c r="N13" s="33">
        <f>C35*'E Balans VL '!Y23/100/3.6*1000000</f>
        <v>54.674225701925522</v>
      </c>
      <c r="O13" s="33"/>
      <c r="P13" s="33"/>
      <c r="R13" s="32"/>
    </row>
    <row r="14" spans="1:18">
      <c r="A14" s="6" t="s">
        <v>33</v>
      </c>
      <c r="B14" s="37">
        <f t="shared" si="0"/>
        <v>18717.153999999999</v>
      </c>
      <c r="C14" s="33"/>
      <c r="D14" s="37">
        <f>IF( ISERROR(IND_chemie_gas_kWh/1000),0,IND_chemie_gas_kWh/1000)*0.902</f>
        <v>924.64651400000002</v>
      </c>
      <c r="E14" s="33">
        <f>C36*'E Balans VL '!I24/100/3.6*1000000</f>
        <v>88.480382311549846</v>
      </c>
      <c r="F14" s="33">
        <f>C36*'E Balans VL '!L24/100/3.6*1000000+C36*'E Balans VL '!N24/100/3.6*1000000</f>
        <v>353.7441639606846</v>
      </c>
      <c r="G14" s="34"/>
      <c r="H14" s="33"/>
      <c r="I14" s="33"/>
      <c r="J14" s="40">
        <f>C36*'E Balans VL '!D24/100/3.6*1000000+C36*'E Balans VL '!E24/100/3.6*1000000</f>
        <v>0</v>
      </c>
      <c r="K14" s="33"/>
      <c r="L14" s="33"/>
      <c r="M14" s="33"/>
      <c r="N14" s="33">
        <f>C36*'E Balans VL '!Y24/100/3.6*1000000</f>
        <v>454.38917840486846</v>
      </c>
      <c r="O14" s="33"/>
      <c r="P14" s="33"/>
      <c r="R14" s="32"/>
    </row>
    <row r="15" spans="1:18">
      <c r="A15" s="6" t="s">
        <v>259</v>
      </c>
      <c r="B15" s="37">
        <f t="shared" si="0"/>
        <v>265.95999999999998</v>
      </c>
      <c r="C15" s="33"/>
      <c r="D15" s="37">
        <f>IF( ISERROR(IND_rest_gas_kWh/1000),0,IND_rest_gas_kWh/1000)*0.902</f>
        <v>1238.6101639999999</v>
      </c>
      <c r="E15" s="33">
        <f>C37*'E Balans VL '!I15/100/3.6*1000000</f>
        <v>14.837420388475289</v>
      </c>
      <c r="F15" s="33">
        <f>C37*'E Balans VL '!L15/100/3.6*1000000+C37*'E Balans VL '!N15/100/3.6*1000000</f>
        <v>62.521776533434632</v>
      </c>
      <c r="G15" s="34"/>
      <c r="H15" s="33"/>
      <c r="I15" s="33"/>
      <c r="J15" s="40">
        <f>C37*'E Balans VL '!D15/100/3.6*1000000+C37*'E Balans VL '!E15/100/3.6*1000000</f>
        <v>0.68167220522131511</v>
      </c>
      <c r="K15" s="33"/>
      <c r="L15" s="33"/>
      <c r="M15" s="33"/>
      <c r="N15" s="33">
        <f>C37*'E Balans VL '!Y15/100/3.6*1000000</f>
        <v>12.343150411572843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70006.183000000005</v>
      </c>
      <c r="C18" s="21">
        <f>C5+C16</f>
        <v>0</v>
      </c>
      <c r="D18" s="21">
        <f>MAX((D5+D16),0)</f>
        <v>39535.405052000002</v>
      </c>
      <c r="E18" s="21">
        <f>MAX((E5+E16),0)</f>
        <v>3533.9773573117295</v>
      </c>
      <c r="F18" s="21">
        <f>MAX((F5+F16),0)</f>
        <v>56304.527553214131</v>
      </c>
      <c r="G18" s="21"/>
      <c r="H18" s="21"/>
      <c r="I18" s="21"/>
      <c r="J18" s="21">
        <f>MAX((J5+J16),0)</f>
        <v>69.630337725067761</v>
      </c>
      <c r="K18" s="21"/>
      <c r="L18" s="21">
        <f>MAX((L5+L16),0)</f>
        <v>0</v>
      </c>
      <c r="M18" s="21"/>
      <c r="N18" s="21">
        <f>MAX((N5+N16),0)</f>
        <v>10435.400376472642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0.20728591661019058</v>
      </c>
      <c r="C20" s="25">
        <f ca="1">'EF ele_warmte'!B22</f>
        <v>0.22444444444444447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14511.295811535741</v>
      </c>
      <c r="C22" s="23">
        <f ca="1">C18*C20</f>
        <v>0</v>
      </c>
      <c r="D22" s="23">
        <f>D18*D20</f>
        <v>7986.1518205040011</v>
      </c>
      <c r="E22" s="23">
        <f>E18*E20</f>
        <v>802.21286010976257</v>
      </c>
      <c r="F22" s="23">
        <f>F18*F20</f>
        <v>15033.308856708174</v>
      </c>
      <c r="G22" s="23"/>
      <c r="H22" s="23"/>
      <c r="I22" s="23"/>
      <c r="J22" s="23">
        <f>J18*J20</f>
        <v>24.649139554673987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2917.6149999999998</v>
      </c>
      <c r="C30" s="39">
        <f>IF(ISERROR(B30*3.6/1000000/'E Balans VL '!Z18*100),0,B30*3.6/1000000/'E Balans VL '!Z18*100)</f>
        <v>0.28708586812229059</v>
      </c>
      <c r="D30" s="235" t="s">
        <v>647</v>
      </c>
    </row>
    <row r="31" spans="1:18">
      <c r="A31" s="6" t="s">
        <v>32</v>
      </c>
      <c r="B31" s="37">
        <f>IF( ISERROR(IND_ander_ele_kWh/1000),0,IND_ander_ele_kWh/1000)</f>
        <v>2089.6329999999998</v>
      </c>
      <c r="C31" s="39">
        <f>IF(ISERROR(B31*3.6/1000000/'E Balans VL '!Z19*100),0,B31*3.6/1000000/'E Balans VL '!Z19*100)</f>
        <v>9.1001850266175785E-2</v>
      </c>
      <c r="D31" s="235" t="s">
        <v>647</v>
      </c>
    </row>
    <row r="32" spans="1:18">
      <c r="A32" s="170" t="s">
        <v>40</v>
      </c>
      <c r="B32" s="37">
        <f>IF( ISERROR(IND_voed_ele_kWh/1000),0,IND_voed_ele_kWh/1000)</f>
        <v>32870.830999999998</v>
      </c>
      <c r="C32" s="39">
        <f>IF(ISERROR(B32*3.6/1000000/'E Balans VL '!Z20*100),0,B32*3.6/1000000/'E Balans VL '!Z20*100)</f>
        <v>6.2367661332966158</v>
      </c>
      <c r="D32" s="235" t="s">
        <v>647</v>
      </c>
    </row>
    <row r="33" spans="1:5">
      <c r="A33" s="170" t="s">
        <v>39</v>
      </c>
      <c r="B33" s="37">
        <f>IF( ISERROR(IND_textiel_ele_kWh/1000),0,IND_textiel_ele_kWh/1000)</f>
        <v>391.36099999999999</v>
      </c>
      <c r="C33" s="39">
        <f>IF(ISERROR(B33*3.6/1000000/'E Balans VL '!Z21*100),0,B33*3.6/1000000/'E Balans VL '!Z21*100)</f>
        <v>2.2344728408428997E-2</v>
      </c>
      <c r="D33" s="235" t="s">
        <v>647</v>
      </c>
    </row>
    <row r="34" spans="1:5">
      <c r="A34" s="170" t="s">
        <v>36</v>
      </c>
      <c r="B34" s="37">
        <f>IF( ISERROR(IND_min_ele_kWh/1000),0,IND_min_ele_kWh/1000)</f>
        <v>12457.257</v>
      </c>
      <c r="C34" s="39">
        <f>IF(ISERROR(B34*3.6/1000000/'E Balans VL '!Z22*100),0,B34*3.6/1000000/'E Balans VL '!Z22*100)</f>
        <v>1.7516154260757266</v>
      </c>
      <c r="D34" s="235" t="s">
        <v>647</v>
      </c>
    </row>
    <row r="35" spans="1:5">
      <c r="A35" s="170" t="s">
        <v>38</v>
      </c>
      <c r="B35" s="37">
        <f>IF( ISERROR(IND_papier_ele_kWh/1000),0,IND_papier_ele_kWh/1000)</f>
        <v>296.37200000000001</v>
      </c>
      <c r="C35" s="39">
        <f>IF(ISERROR(B35*3.6/1000000/'E Balans VL '!Z22*100),0,B35*3.6/1000000/'E Balans VL '!Z22*100)</f>
        <v>4.1672879274860845E-2</v>
      </c>
      <c r="D35" s="235" t="s">
        <v>647</v>
      </c>
    </row>
    <row r="36" spans="1:5">
      <c r="A36" s="170" t="s">
        <v>33</v>
      </c>
      <c r="B36" s="37">
        <f>IF( ISERROR(IND_chemie_ele_kWh/1000),0,IND_chemie_ele_kWh/1000)</f>
        <v>18717.153999999999</v>
      </c>
      <c r="C36" s="39">
        <f>IF(ISERROR(B36*3.6/1000000/'E Balans VL '!Z24*100),0,B36*3.6/1000000/'E Balans VL '!Z24*100)</f>
        <v>0.54547317567258768</v>
      </c>
      <c r="D36" s="235" t="s">
        <v>647</v>
      </c>
    </row>
    <row r="37" spans="1:5">
      <c r="A37" s="170" t="s">
        <v>259</v>
      </c>
      <c r="B37" s="37">
        <f>IF( ISERROR(IND_rest_ele_kWh/1000),0,IND_rest_ele_kWh/1000)</f>
        <v>265.95999999999998</v>
      </c>
      <c r="C37" s="39">
        <f>IF(ISERROR(B37*3.6/1000000/'E Balans VL '!Z15*100),0,B37*3.6/1000000/'E Balans VL '!Z15*100)</f>
        <v>2.0495484662152318E-3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586.30200000000002</v>
      </c>
      <c r="C5" s="17">
        <f>'Eigen informatie GS &amp; warmtenet'!B60</f>
        <v>0</v>
      </c>
      <c r="D5" s="30">
        <f>IF(ISERROR(SUM(LB_lb_gas_kWh,LB_rest_gas_kWh)/1000),0,SUM(LB_lb_gas_kWh,LB_rest_gas_kWh)/1000)*0.902</f>
        <v>218.30655000000002</v>
      </c>
      <c r="E5" s="17">
        <f>B17*'E Balans VL '!I25/3.6*1000000/100</f>
        <v>12.174391094152069</v>
      </c>
      <c r="F5" s="17">
        <f>B17*('E Balans VL '!L25/3.6*1000000+'E Balans VL '!N25/3.6*1000000)/100</f>
        <v>2072.0062287145502</v>
      </c>
      <c r="G5" s="18"/>
      <c r="H5" s="17"/>
      <c r="I5" s="17"/>
      <c r="J5" s="17">
        <f>('E Balans VL '!D25+'E Balans VL '!E25)/3.6*1000000*landbouw!B17/100</f>
        <v>67.245131139330041</v>
      </c>
      <c r="K5" s="17"/>
      <c r="L5" s="17">
        <f>L6*(-1)</f>
        <v>0</v>
      </c>
      <c r="M5" s="17"/>
      <c r="N5" s="17">
        <f>N6*(-1)</f>
        <v>0</v>
      </c>
      <c r="O5" s="17"/>
      <c r="P5" s="17"/>
      <c r="R5" s="32"/>
    </row>
    <row r="6" spans="1:18">
      <c r="A6" s="16" t="s">
        <v>483</v>
      </c>
      <c r="B6" s="17" t="s">
        <v>204</v>
      </c>
      <c r="C6" s="17">
        <f>'lokale energieproductie'!O39+'lokale energieproductie'!O32</f>
        <v>22.5</v>
      </c>
      <c r="D6" s="305">
        <f>('lokale energieproductie'!P32+'lokale energieproductie'!P39)*(-1)</f>
        <v>-30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586.30200000000002</v>
      </c>
      <c r="C8" s="21">
        <f>C5+C6</f>
        <v>22.5</v>
      </c>
      <c r="D8" s="21">
        <f>MAX((D5+D6),0)</f>
        <v>188.30655000000002</v>
      </c>
      <c r="E8" s="21">
        <f>MAX((E5+E6),0)</f>
        <v>12.174391094152069</v>
      </c>
      <c r="F8" s="21">
        <f>MAX((F5+F6),0)</f>
        <v>2072.0062287145502</v>
      </c>
      <c r="G8" s="21"/>
      <c r="H8" s="21"/>
      <c r="I8" s="21"/>
      <c r="J8" s="21">
        <f>MAX((J5+J6),0)</f>
        <v>67.245131139330041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0.20728591661019058</v>
      </c>
      <c r="C10" s="31">
        <f ca="1">'EF ele_warmte'!B22</f>
        <v>0.22444444444444447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121.53214748038796</v>
      </c>
      <c r="C12" s="23">
        <f ca="1">C8*C10</f>
        <v>5.0500000000000007</v>
      </c>
      <c r="D12" s="23">
        <f>D8*D10</f>
        <v>38.037923100000008</v>
      </c>
      <c r="E12" s="23">
        <f>E8*E10</f>
        <v>2.7635867783725199</v>
      </c>
      <c r="F12" s="23">
        <f>F8*F10</f>
        <v>553.22566306678493</v>
      </c>
      <c r="G12" s="23"/>
      <c r="H12" s="23"/>
      <c r="I12" s="23"/>
      <c r="J12" s="23">
        <f>J8*J10</f>
        <v>23.804776423322835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8.177064983360724E-2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107.51742572824037</v>
      </c>
      <c r="C26" s="245">
        <f>B26*'GWP N2O_CH4'!B5</f>
        <v>2257.865940293048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35.622024650789612</v>
      </c>
      <c r="C27" s="245">
        <f>B27*'GWP N2O_CH4'!B5</f>
        <v>748.06251766658181</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1.5553047641046593</v>
      </c>
      <c r="C28" s="245">
        <f>B28*'GWP N2O_CH4'!B4</f>
        <v>482.14447687244439</v>
      </c>
      <c r="D28" s="50"/>
    </row>
    <row r="29" spans="1:4">
      <c r="A29" s="41" t="s">
        <v>266</v>
      </c>
      <c r="B29" s="245">
        <f>B34*'ha_N2O bodem landbouw'!B4</f>
        <v>12.222992767452258</v>
      </c>
      <c r="C29" s="245">
        <f>B29*'GWP N2O_CH4'!B4</f>
        <v>3789.1277579101998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3.051959158480267E-3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8.266938112261611E-5</v>
      </c>
      <c r="C5" s="434" t="s">
        <v>204</v>
      </c>
      <c r="D5" s="419">
        <f>SUM(D6:D11)</f>
        <v>7.6379246321668962E-5</v>
      </c>
      <c r="E5" s="419">
        <f>SUM(E6:E11)</f>
        <v>3.0200406974480241E-3</v>
      </c>
      <c r="F5" s="432" t="s">
        <v>204</v>
      </c>
      <c r="G5" s="419">
        <f>SUM(G6:G11)</f>
        <v>0.90196157071680982</v>
      </c>
      <c r="H5" s="419">
        <f>SUM(H6:H11)</f>
        <v>0.14275807976378282</v>
      </c>
      <c r="I5" s="434" t="s">
        <v>204</v>
      </c>
      <c r="J5" s="434" t="s">
        <v>204</v>
      </c>
      <c r="K5" s="434" t="s">
        <v>204</v>
      </c>
      <c r="L5" s="434" t="s">
        <v>204</v>
      </c>
      <c r="M5" s="419">
        <f>SUM(M6:M11)</f>
        <v>4.7232018533777016E-2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2.091771327504284E-5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1.8554177838494282E-5</v>
      </c>
      <c r="E6" s="836">
        <f>vkm_GW_PW*SUMIFS(TableVerdeelsleutelVkm[LPG],TableVerdeelsleutelVkm[Voertuigtype],"Lichte voertuigen")*SUMIFS(TableECFTransport[EnergieConsumptieFactor (PJ per km)],TableECFTransport[Index],CONCATENATE($A6,"_LPG_LPG"))</f>
        <v>6.6626521289732204E-4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0.13244981398069222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3.4191113470858805E-2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7.5388670442035751E-3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2.1080384816179305E-7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3.2987667878693096E-2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8.6776004389589868E-7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1.4894493128355998E-3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1.5009729738636805E-5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2.09464504758759E-5</v>
      </c>
      <c r="E8" s="422">
        <f>vkm_NGW_PW*SUMIFS(TableVerdeelsleutelVkm[LPG],TableVerdeelsleutelVkm[Voertuigtype],"Lichte voertuigen")*SUMIFS(TableECFTransport[EnergieConsumptieFactor (PJ per km)],TableECFTransport[Index],CONCATENATE($A8,"_LPG_LPG"))</f>
        <v>7.140959234644105E-4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0.13392761238113612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3.6998234806318225E-2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7.7335603647698103E-3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6.5403525817712414E-9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1.3146625471615993E-3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3.249665965916637E-8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5.9359154979431841E-5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4.4494035002499906E-5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3.687861800729878E-5</v>
      </c>
      <c r="E10" s="422">
        <f>vkm_SW_PW*SUMIFS(TableVerdeelsleutelVkm[LPG],TableVerdeelsleutelVkm[Voertuigtype],"Lichte voertuigen")*SUMIFS(TableECFTransport[EnergieConsumptieFactor (PJ per km)],TableECFTransport[Index],CONCATENATE($A10,"_LPG_LPG"))</f>
        <v>1.6396795610862916E-3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0.29853040874965464</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7.1559227888707652E-2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1.6741012625308395E-2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2.0305589056929987E-6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0.30275140517947213</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8.6033411945986537E-6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1.3669770031680207E-2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22.963716978504472</v>
      </c>
      <c r="C14" s="21"/>
      <c r="D14" s="21">
        <f t="shared" ref="D14:M14" si="0">((D5)*10^9/3600)+D12</f>
        <v>21.216457311574711</v>
      </c>
      <c r="E14" s="21">
        <f t="shared" si="0"/>
        <v>838.9001937355622</v>
      </c>
      <c r="F14" s="21"/>
      <c r="G14" s="21">
        <f t="shared" si="0"/>
        <v>250544.8807546694</v>
      </c>
      <c r="H14" s="21">
        <f t="shared" si="0"/>
        <v>39655.022156606341</v>
      </c>
      <c r="I14" s="21"/>
      <c r="J14" s="21"/>
      <c r="K14" s="21"/>
      <c r="L14" s="21"/>
      <c r="M14" s="21">
        <f t="shared" si="0"/>
        <v>13120.005148271393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0.20728591661019058</v>
      </c>
      <c r="C16" s="56">
        <f ca="1">'EF ele_warmte'!B22</f>
        <v>0.22444444444444447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4.7600551226662953</v>
      </c>
      <c r="C18" s="23"/>
      <c r="D18" s="23">
        <f t="shared" ref="D18:M18" si="1">D14*D16</f>
        <v>4.2857243769380915</v>
      </c>
      <c r="E18" s="23">
        <f t="shared" si="1"/>
        <v>190.43034397797263</v>
      </c>
      <c r="F18" s="23"/>
      <c r="G18" s="23">
        <f t="shared" si="1"/>
        <v>66895.483161496741</v>
      </c>
      <c r="H18" s="23">
        <f t="shared" si="1"/>
        <v>9874.1005169949785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9.5371948477389679E-5</v>
      </c>
      <c r="C50" s="316">
        <f t="shared" ref="C50:P50" si="2">SUM(C51:C52)</f>
        <v>0</v>
      </c>
      <c r="D50" s="316">
        <f t="shared" si="2"/>
        <v>0</v>
      </c>
      <c r="E50" s="316">
        <f t="shared" si="2"/>
        <v>0</v>
      </c>
      <c r="F50" s="316">
        <f t="shared" si="2"/>
        <v>0</v>
      </c>
      <c r="G50" s="316">
        <f t="shared" si="2"/>
        <v>1.8563610119154954E-2</v>
      </c>
      <c r="H50" s="316">
        <f t="shared" si="2"/>
        <v>0</v>
      </c>
      <c r="I50" s="316">
        <f t="shared" si="2"/>
        <v>0</v>
      </c>
      <c r="J50" s="316">
        <f t="shared" si="2"/>
        <v>0</v>
      </c>
      <c r="K50" s="316">
        <f t="shared" si="2"/>
        <v>0</v>
      </c>
      <c r="L50" s="316">
        <f t="shared" si="2"/>
        <v>0</v>
      </c>
      <c r="M50" s="316">
        <f t="shared" si="2"/>
        <v>8.3240787610074378E-4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9.5371948477389679E-5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1.8563610119154954E-2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8.3240787610074378E-4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26.492207910386025</v>
      </c>
      <c r="C54" s="21">
        <f t="shared" ref="C54:P54" si="3">(C50)*10^9/3600</f>
        <v>0</v>
      </c>
      <c r="D54" s="21">
        <f t="shared" si="3"/>
        <v>0</v>
      </c>
      <c r="E54" s="21">
        <f t="shared" si="3"/>
        <v>0</v>
      </c>
      <c r="F54" s="21">
        <f t="shared" si="3"/>
        <v>0</v>
      </c>
      <c r="G54" s="21">
        <f t="shared" si="3"/>
        <v>5156.558366431932</v>
      </c>
      <c r="H54" s="21">
        <f t="shared" si="3"/>
        <v>0</v>
      </c>
      <c r="I54" s="21">
        <f t="shared" si="3"/>
        <v>0</v>
      </c>
      <c r="J54" s="21">
        <f t="shared" si="3"/>
        <v>0</v>
      </c>
      <c r="K54" s="21">
        <f t="shared" si="3"/>
        <v>0</v>
      </c>
      <c r="L54" s="21">
        <f t="shared" si="3"/>
        <v>0</v>
      </c>
      <c r="M54" s="21">
        <f t="shared" si="3"/>
        <v>231.22441002798439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0.20728591661019058</v>
      </c>
      <c r="C56" s="56">
        <f ca="1">'EF ele_warmte'!B22</f>
        <v>0.22444444444444447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5.4914615997321086</v>
      </c>
      <c r="C58" s="23">
        <f t="shared" ref="C58:P58" ca="1" si="4">C54*C56</f>
        <v>0</v>
      </c>
      <c r="D58" s="23">
        <f t="shared" si="4"/>
        <v>0</v>
      </c>
      <c r="E58" s="23">
        <f t="shared" si="4"/>
        <v>0</v>
      </c>
      <c r="F58" s="23">
        <f t="shared" si="4"/>
        <v>0</v>
      </c>
      <c r="G58" s="23">
        <f t="shared" si="4"/>
        <v>1376.8010838373259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12015.770998461907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4.5</v>
      </c>
      <c r="C8" s="546">
        <f>B48</f>
        <v>5</v>
      </c>
      <c r="D8" s="963"/>
      <c r="E8" s="963">
        <f>E48</f>
        <v>0</v>
      </c>
      <c r="F8" s="964"/>
      <c r="G8" s="547"/>
      <c r="H8" s="963">
        <f>I48</f>
        <v>0</v>
      </c>
      <c r="I8" s="963">
        <f>G48+F48</f>
        <v>0</v>
      </c>
      <c r="J8" s="963">
        <f>H48+D48+C48</f>
        <v>0</v>
      </c>
      <c r="K8" s="963"/>
      <c r="L8" s="963"/>
      <c r="M8" s="963"/>
      <c r="N8" s="548"/>
      <c r="O8" s="549">
        <f>C8*$C$12+D8*$D$12+E8*$E$12+F8*$F$12+G8*$G$12+H8*$H$12+I8*$I$12+J8*$J$12</f>
        <v>1.01</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12020.270998461907</v>
      </c>
      <c r="C10" s="559">
        <f t="shared" ref="C10:L10" si="0">SUM(C8:C9)</f>
        <v>5</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1.01</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22.5</v>
      </c>
      <c r="C17" s="571">
        <f>B49</f>
        <v>25</v>
      </c>
      <c r="D17" s="572"/>
      <c r="E17" s="572">
        <f>E49</f>
        <v>0</v>
      </c>
      <c r="F17" s="969"/>
      <c r="G17" s="573"/>
      <c r="H17" s="571">
        <f>I49</f>
        <v>0</v>
      </c>
      <c r="I17" s="572">
        <f>G49+F49</f>
        <v>0</v>
      </c>
      <c r="J17" s="572">
        <f>H49+D49+C49</f>
        <v>0</v>
      </c>
      <c r="K17" s="572"/>
      <c r="L17" s="572"/>
      <c r="M17" s="572"/>
      <c r="N17" s="970"/>
      <c r="O17" s="574">
        <f>C17*$C$22+E17*$E$22+H17*$H$22+I17*$I$22+J17*$J$22+D17*$D$22+F17*$F$22+G17*$G$22+K17*$K$22+L17*$L$22</f>
        <v>5.0500000000000007</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22.5</v>
      </c>
      <c r="C20" s="558">
        <f>SUM(C17:C19)</f>
        <v>25</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5.0500000000000007</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v>73107</v>
      </c>
      <c r="C28" s="741">
        <v>3630</v>
      </c>
      <c r="D28" s="630"/>
      <c r="E28" s="629"/>
      <c r="F28" s="629"/>
      <c r="G28" s="629" t="s">
        <v>908</v>
      </c>
      <c r="H28" s="629" t="s">
        <v>908</v>
      </c>
      <c r="I28" s="629"/>
      <c r="J28" s="740"/>
      <c r="K28" s="740"/>
      <c r="L28" s="629" t="s">
        <v>909</v>
      </c>
      <c r="M28" s="629">
        <v>1</v>
      </c>
      <c r="N28" s="629">
        <v>4.5</v>
      </c>
      <c r="O28" s="629">
        <v>22.5</v>
      </c>
      <c r="P28" s="629">
        <v>30</v>
      </c>
      <c r="Q28" s="629">
        <v>0</v>
      </c>
      <c r="R28" s="629">
        <v>0</v>
      </c>
      <c r="S28" s="629">
        <v>0</v>
      </c>
      <c r="T28" s="629">
        <v>0</v>
      </c>
      <c r="U28" s="629">
        <v>0</v>
      </c>
      <c r="V28" s="629">
        <v>0</v>
      </c>
      <c r="W28" s="629">
        <v>0</v>
      </c>
      <c r="X28" s="629"/>
      <c r="Y28" s="629">
        <v>10</v>
      </c>
      <c r="Z28" s="629" t="s">
        <v>105</v>
      </c>
      <c r="AA28" s="631" t="s">
        <v>105</v>
      </c>
    </row>
    <row r="29" spans="1:27" s="566" customFormat="1" hidden="1">
      <c r="A29" s="585" t="s">
        <v>269</v>
      </c>
      <c r="B29" s="586"/>
      <c r="C29" s="586"/>
      <c r="D29" s="586"/>
      <c r="E29" s="586"/>
      <c r="F29" s="586"/>
      <c r="G29" s="586"/>
      <c r="H29" s="586"/>
      <c r="I29" s="586"/>
      <c r="J29" s="586"/>
      <c r="K29" s="586"/>
      <c r="L29" s="587"/>
      <c r="M29" s="587">
        <f>SUM(M28:M28)</f>
        <v>1</v>
      </c>
      <c r="N29" s="587">
        <f>SUM(N28:N28)</f>
        <v>4.5</v>
      </c>
      <c r="O29" s="587">
        <f>SUM(O28:O28)</f>
        <v>22.5</v>
      </c>
      <c r="P29" s="587">
        <f>SUM(P28:P28)</f>
        <v>30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1</v>
      </c>
      <c r="N32" s="592">
        <f>SUMIF($AA$28:$AA$28,"landbouw",N28:N28)</f>
        <v>4.5</v>
      </c>
      <c r="O32" s="592">
        <f>SUMIF($AA$28:$AA$28,"landbouw",O28:O28)</f>
        <v>22.5</v>
      </c>
      <c r="P32" s="592">
        <f>SUMIF($AA$28:$AA$28,"landbouw",P28:P28)</f>
        <v>30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0.83333333333333337</v>
      </c>
      <c r="C45" s="612">
        <f>IF(ISERROR(N29/(O29+N29)),0,N29/(N29+O29))</f>
        <v>0.16666666666666666</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5</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25</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59331.475000000006</v>
      </c>
      <c r="D10" s="640">
        <f ca="1">tertiair!C16</f>
        <v>0</v>
      </c>
      <c r="E10" s="640">
        <f ca="1">tertiair!D16</f>
        <v>34447.367372000001</v>
      </c>
      <c r="F10" s="640">
        <f>tertiair!E16</f>
        <v>311.61564871893057</v>
      </c>
      <c r="G10" s="640">
        <f ca="1">tertiair!F16</f>
        <v>7805.6294714209516</v>
      </c>
      <c r="H10" s="640">
        <f>tertiair!G16</f>
        <v>0</v>
      </c>
      <c r="I10" s="640">
        <f>tertiair!H16</f>
        <v>0</v>
      </c>
      <c r="J10" s="640">
        <f>tertiair!I16</f>
        <v>0</v>
      </c>
      <c r="K10" s="640">
        <f>tertiair!J16</f>
        <v>31.971868755189696</v>
      </c>
      <c r="L10" s="640">
        <f>tertiair!K16</f>
        <v>0</v>
      </c>
      <c r="M10" s="640">
        <f ca="1">tertiair!L16</f>
        <v>0</v>
      </c>
      <c r="N10" s="640">
        <f>tertiair!M16</f>
        <v>0</v>
      </c>
      <c r="O10" s="640">
        <f ca="1">tertiair!N16</f>
        <v>7582.1161105757183</v>
      </c>
      <c r="P10" s="640">
        <f>tertiair!O16</f>
        <v>0</v>
      </c>
      <c r="Q10" s="641">
        <f>tertiair!P16</f>
        <v>0</v>
      </c>
      <c r="R10" s="643">
        <f ca="1">SUM(C10:Q10)</f>
        <v>109510.17547147081</v>
      </c>
      <c r="S10" s="67"/>
    </row>
    <row r="11" spans="1:19" s="444" customFormat="1">
      <c r="A11" s="754" t="s">
        <v>214</v>
      </c>
      <c r="B11" s="759"/>
      <c r="C11" s="640">
        <f>huishoudens!B8</f>
        <v>61265.719538343765</v>
      </c>
      <c r="D11" s="640">
        <f>huishoudens!C8</f>
        <v>0</v>
      </c>
      <c r="E11" s="640">
        <f>huishoudens!D8</f>
        <v>134585.870364</v>
      </c>
      <c r="F11" s="640">
        <f>huishoudens!E8</f>
        <v>4188.1577533144145</v>
      </c>
      <c r="G11" s="640">
        <f>huishoudens!F8</f>
        <v>128348.07432950837</v>
      </c>
      <c r="H11" s="640">
        <f>huishoudens!G8</f>
        <v>0</v>
      </c>
      <c r="I11" s="640">
        <f>huishoudens!H8</f>
        <v>0</v>
      </c>
      <c r="J11" s="640">
        <f>huishoudens!I8</f>
        <v>0</v>
      </c>
      <c r="K11" s="640">
        <f>huishoudens!J8</f>
        <v>2430.6569644026513</v>
      </c>
      <c r="L11" s="640">
        <f>huishoudens!K8</f>
        <v>0</v>
      </c>
      <c r="M11" s="640">
        <f>huishoudens!L8</f>
        <v>0</v>
      </c>
      <c r="N11" s="640">
        <f>huishoudens!M8</f>
        <v>0</v>
      </c>
      <c r="O11" s="640">
        <f>huishoudens!N8</f>
        <v>23804.178843894511</v>
      </c>
      <c r="P11" s="640">
        <f>huishoudens!O8</f>
        <v>594.06666666666672</v>
      </c>
      <c r="Q11" s="641">
        <f>huishoudens!P8</f>
        <v>438.5333333333333</v>
      </c>
      <c r="R11" s="643">
        <f>SUM(C11:Q11)</f>
        <v>355655.25779346365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70006.183000000005</v>
      </c>
      <c r="D13" s="640">
        <f>industrie!C18</f>
        <v>0</v>
      </c>
      <c r="E13" s="640">
        <f>industrie!D18</f>
        <v>39535.405052000002</v>
      </c>
      <c r="F13" s="640">
        <f>industrie!E18</f>
        <v>3533.9773573117295</v>
      </c>
      <c r="G13" s="640">
        <f>industrie!F18</f>
        <v>56304.527553214131</v>
      </c>
      <c r="H13" s="640">
        <f>industrie!G18</f>
        <v>0</v>
      </c>
      <c r="I13" s="640">
        <f>industrie!H18</f>
        <v>0</v>
      </c>
      <c r="J13" s="640">
        <f>industrie!I18</f>
        <v>0</v>
      </c>
      <c r="K13" s="640">
        <f>industrie!J18</f>
        <v>69.630337725067761</v>
      </c>
      <c r="L13" s="640">
        <f>industrie!K18</f>
        <v>0</v>
      </c>
      <c r="M13" s="640">
        <f>industrie!L18</f>
        <v>0</v>
      </c>
      <c r="N13" s="640">
        <f>industrie!M18</f>
        <v>0</v>
      </c>
      <c r="O13" s="640">
        <f>industrie!N18</f>
        <v>10435.400376472642</v>
      </c>
      <c r="P13" s="640">
        <f>industrie!O18</f>
        <v>0</v>
      </c>
      <c r="Q13" s="641">
        <f>industrie!P18</f>
        <v>0</v>
      </c>
      <c r="R13" s="643">
        <f>SUM(C13:Q13)</f>
        <v>179885.1236767236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190603.37753834378</v>
      </c>
      <c r="D16" s="675">
        <f t="shared" ref="D16:R16" ca="1" si="0">SUM(D9:D15)</f>
        <v>0</v>
      </c>
      <c r="E16" s="675">
        <f t="shared" ca="1" si="0"/>
        <v>208568.642788</v>
      </c>
      <c r="F16" s="675">
        <f t="shared" si="0"/>
        <v>8033.7507593450755</v>
      </c>
      <c r="G16" s="675">
        <f t="shared" ca="1" si="0"/>
        <v>192458.23135414347</v>
      </c>
      <c r="H16" s="675">
        <f t="shared" si="0"/>
        <v>0</v>
      </c>
      <c r="I16" s="675">
        <f t="shared" si="0"/>
        <v>0</v>
      </c>
      <c r="J16" s="675">
        <f t="shared" si="0"/>
        <v>0</v>
      </c>
      <c r="K16" s="675">
        <f t="shared" si="0"/>
        <v>2532.2591708829091</v>
      </c>
      <c r="L16" s="675">
        <f t="shared" si="0"/>
        <v>0</v>
      </c>
      <c r="M16" s="675">
        <f t="shared" ca="1" si="0"/>
        <v>0</v>
      </c>
      <c r="N16" s="675">
        <f t="shared" si="0"/>
        <v>0</v>
      </c>
      <c r="O16" s="675">
        <f t="shared" ca="1" si="0"/>
        <v>41821.695330942872</v>
      </c>
      <c r="P16" s="675">
        <f t="shared" si="0"/>
        <v>594.06666666666672</v>
      </c>
      <c r="Q16" s="675">
        <f t="shared" si="0"/>
        <v>438.5333333333333</v>
      </c>
      <c r="R16" s="675">
        <f t="shared" ca="1" si="0"/>
        <v>645050.55694165803</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26.492207910386025</v>
      </c>
      <c r="D19" s="640">
        <f>transport!C54</f>
        <v>0</v>
      </c>
      <c r="E19" s="640">
        <f>transport!D54</f>
        <v>0</v>
      </c>
      <c r="F19" s="640">
        <f>transport!E54</f>
        <v>0</v>
      </c>
      <c r="G19" s="640">
        <f>transport!F54</f>
        <v>0</v>
      </c>
      <c r="H19" s="640">
        <f>transport!G54</f>
        <v>5156.558366431932</v>
      </c>
      <c r="I19" s="640">
        <f>transport!H54</f>
        <v>0</v>
      </c>
      <c r="J19" s="640">
        <f>transport!I54</f>
        <v>0</v>
      </c>
      <c r="K19" s="640">
        <f>transport!J54</f>
        <v>0</v>
      </c>
      <c r="L19" s="640">
        <f>transport!K54</f>
        <v>0</v>
      </c>
      <c r="M19" s="640">
        <f>transport!L54</f>
        <v>0</v>
      </c>
      <c r="N19" s="640">
        <f>transport!M54</f>
        <v>231.22441002798439</v>
      </c>
      <c r="O19" s="640">
        <f>transport!N54</f>
        <v>0</v>
      </c>
      <c r="P19" s="640">
        <f>transport!O54</f>
        <v>0</v>
      </c>
      <c r="Q19" s="641">
        <f>transport!P54</f>
        <v>0</v>
      </c>
      <c r="R19" s="643">
        <f>SUM(C19:Q19)</f>
        <v>5414.2749843703023</v>
      </c>
      <c r="S19" s="67"/>
    </row>
    <row r="20" spans="1:19" s="444" customFormat="1">
      <c r="A20" s="754" t="s">
        <v>296</v>
      </c>
      <c r="B20" s="759"/>
      <c r="C20" s="640">
        <f>transport!B14</f>
        <v>22.963716978504472</v>
      </c>
      <c r="D20" s="640">
        <f>transport!C14</f>
        <v>0</v>
      </c>
      <c r="E20" s="640">
        <f>transport!D14</f>
        <v>21.216457311574711</v>
      </c>
      <c r="F20" s="640">
        <f>transport!E14</f>
        <v>838.9001937355622</v>
      </c>
      <c r="G20" s="640">
        <f>transport!F14</f>
        <v>0</v>
      </c>
      <c r="H20" s="640">
        <f>transport!G14</f>
        <v>250544.8807546694</v>
      </c>
      <c r="I20" s="640">
        <f>transport!H14</f>
        <v>39655.022156606341</v>
      </c>
      <c r="J20" s="640">
        <f>transport!I14</f>
        <v>0</v>
      </c>
      <c r="K20" s="640">
        <f>transport!J14</f>
        <v>0</v>
      </c>
      <c r="L20" s="640">
        <f>transport!K14</f>
        <v>0</v>
      </c>
      <c r="M20" s="640">
        <f>transport!L14</f>
        <v>0</v>
      </c>
      <c r="N20" s="640">
        <f>transport!M14</f>
        <v>13120.005148271393</v>
      </c>
      <c r="O20" s="640">
        <f>transport!N14</f>
        <v>0</v>
      </c>
      <c r="P20" s="640">
        <f>transport!O14</f>
        <v>0</v>
      </c>
      <c r="Q20" s="641">
        <f>transport!P14</f>
        <v>0</v>
      </c>
      <c r="R20" s="643">
        <f>SUM(C20:Q20)</f>
        <v>304202.98842757277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49.455924888890493</v>
      </c>
      <c r="D22" s="757">
        <f t="shared" ref="D22:R22" si="1">SUM(D18:D21)</f>
        <v>0</v>
      </c>
      <c r="E22" s="757">
        <f t="shared" si="1"/>
        <v>21.216457311574711</v>
      </c>
      <c r="F22" s="757">
        <f t="shared" si="1"/>
        <v>838.9001937355622</v>
      </c>
      <c r="G22" s="757">
        <f t="shared" si="1"/>
        <v>0</v>
      </c>
      <c r="H22" s="757">
        <f t="shared" si="1"/>
        <v>255701.43912110134</v>
      </c>
      <c r="I22" s="757">
        <f t="shared" si="1"/>
        <v>39655.022156606341</v>
      </c>
      <c r="J22" s="757">
        <f t="shared" si="1"/>
        <v>0</v>
      </c>
      <c r="K22" s="757">
        <f t="shared" si="1"/>
        <v>0</v>
      </c>
      <c r="L22" s="757">
        <f t="shared" si="1"/>
        <v>0</v>
      </c>
      <c r="M22" s="757">
        <f t="shared" si="1"/>
        <v>0</v>
      </c>
      <c r="N22" s="757">
        <f t="shared" si="1"/>
        <v>13351.229558299377</v>
      </c>
      <c r="O22" s="757">
        <f t="shared" si="1"/>
        <v>0</v>
      </c>
      <c r="P22" s="757">
        <f t="shared" si="1"/>
        <v>0</v>
      </c>
      <c r="Q22" s="757">
        <f t="shared" si="1"/>
        <v>0</v>
      </c>
      <c r="R22" s="757">
        <f t="shared" si="1"/>
        <v>309617.26341194304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586.30200000000002</v>
      </c>
      <c r="D24" s="640">
        <f>+landbouw!C8</f>
        <v>22.5</v>
      </c>
      <c r="E24" s="640">
        <f>+landbouw!D8</f>
        <v>188.30655000000002</v>
      </c>
      <c r="F24" s="640">
        <f>+landbouw!E8</f>
        <v>12.174391094152069</v>
      </c>
      <c r="G24" s="640">
        <f>+landbouw!F8</f>
        <v>2072.0062287145502</v>
      </c>
      <c r="H24" s="640">
        <f>+landbouw!G8</f>
        <v>0</v>
      </c>
      <c r="I24" s="640">
        <f>+landbouw!H8</f>
        <v>0</v>
      </c>
      <c r="J24" s="640">
        <f>+landbouw!I8</f>
        <v>0</v>
      </c>
      <c r="K24" s="640">
        <f>+landbouw!J8</f>
        <v>67.245131139330041</v>
      </c>
      <c r="L24" s="640">
        <f>+landbouw!K8</f>
        <v>0</v>
      </c>
      <c r="M24" s="640">
        <f>+landbouw!L8</f>
        <v>0</v>
      </c>
      <c r="N24" s="640">
        <f>+landbouw!M8</f>
        <v>0</v>
      </c>
      <c r="O24" s="640">
        <f>+landbouw!N8</f>
        <v>0</v>
      </c>
      <c r="P24" s="640">
        <f>+landbouw!O8</f>
        <v>0</v>
      </c>
      <c r="Q24" s="641">
        <f>+landbouw!P8</f>
        <v>0</v>
      </c>
      <c r="R24" s="643">
        <f>SUM(C24:Q24)</f>
        <v>2948.5343009480325</v>
      </c>
      <c r="S24" s="67"/>
    </row>
    <row r="25" spans="1:19" s="444" customFormat="1" ht="15" thickBot="1">
      <c r="A25" s="776" t="s">
        <v>806</v>
      </c>
      <c r="B25" s="939"/>
      <c r="C25" s="940">
        <f>IF(Onbekend_ele_kWh="---",0,Onbekend_ele_kWh)/1000+IF(REST_rest_ele_kWh="---",0,REST_rest_ele_kWh)/1000</f>
        <v>2391.7339999999999</v>
      </c>
      <c r="D25" s="940"/>
      <c r="E25" s="940">
        <f>IF(onbekend_gas_kWh="---",0,onbekend_gas_kWh)/1000+IF(REST_rest_gas_kWh="---",0,REST_rest_gas_kWh)/1000</f>
        <v>25743.309000000001</v>
      </c>
      <c r="F25" s="940"/>
      <c r="G25" s="940"/>
      <c r="H25" s="940"/>
      <c r="I25" s="940"/>
      <c r="J25" s="940"/>
      <c r="K25" s="940"/>
      <c r="L25" s="940"/>
      <c r="M25" s="940"/>
      <c r="N25" s="940"/>
      <c r="O25" s="940"/>
      <c r="P25" s="940"/>
      <c r="Q25" s="941"/>
      <c r="R25" s="643">
        <f>SUM(C25:Q25)</f>
        <v>28135.043000000001</v>
      </c>
      <c r="S25" s="67"/>
    </row>
    <row r="26" spans="1:19" s="444" customFormat="1" ht="15.75" thickBot="1">
      <c r="A26" s="648" t="s">
        <v>807</v>
      </c>
      <c r="B26" s="762"/>
      <c r="C26" s="757">
        <f>SUM(C24:C25)</f>
        <v>2978.0360000000001</v>
      </c>
      <c r="D26" s="757">
        <f t="shared" ref="D26:R26" si="2">SUM(D24:D25)</f>
        <v>22.5</v>
      </c>
      <c r="E26" s="757">
        <f t="shared" si="2"/>
        <v>25931.615550000002</v>
      </c>
      <c r="F26" s="757">
        <f t="shared" si="2"/>
        <v>12.174391094152069</v>
      </c>
      <c r="G26" s="757">
        <f t="shared" si="2"/>
        <v>2072.0062287145502</v>
      </c>
      <c r="H26" s="757">
        <f t="shared" si="2"/>
        <v>0</v>
      </c>
      <c r="I26" s="757">
        <f t="shared" si="2"/>
        <v>0</v>
      </c>
      <c r="J26" s="757">
        <f t="shared" si="2"/>
        <v>0</v>
      </c>
      <c r="K26" s="757">
        <f t="shared" si="2"/>
        <v>67.245131139330041</v>
      </c>
      <c r="L26" s="757">
        <f t="shared" si="2"/>
        <v>0</v>
      </c>
      <c r="M26" s="757">
        <f t="shared" si="2"/>
        <v>0</v>
      </c>
      <c r="N26" s="757">
        <f t="shared" si="2"/>
        <v>0</v>
      </c>
      <c r="O26" s="757">
        <f t="shared" si="2"/>
        <v>0</v>
      </c>
      <c r="P26" s="757">
        <f t="shared" si="2"/>
        <v>0</v>
      </c>
      <c r="Q26" s="757">
        <f t="shared" si="2"/>
        <v>0</v>
      </c>
      <c r="R26" s="757">
        <f t="shared" si="2"/>
        <v>31083.577300948033</v>
      </c>
      <c r="S26" s="67"/>
    </row>
    <row r="27" spans="1:19" s="444" customFormat="1" ht="17.25" thickTop="1" thickBot="1">
      <c r="A27" s="649" t="s">
        <v>109</v>
      </c>
      <c r="B27" s="749"/>
      <c r="C27" s="650">
        <f ca="1">C22+C16+C26</f>
        <v>193630.86946323267</v>
      </c>
      <c r="D27" s="650">
        <f t="shared" ref="D27:R27" ca="1" si="3">D22+D16+D26</f>
        <v>22.5</v>
      </c>
      <c r="E27" s="650">
        <f t="shared" ca="1" si="3"/>
        <v>234521.47479531157</v>
      </c>
      <c r="F27" s="650">
        <f t="shared" si="3"/>
        <v>8884.8253441747893</v>
      </c>
      <c r="G27" s="650">
        <f t="shared" ca="1" si="3"/>
        <v>194530.23758285801</v>
      </c>
      <c r="H27" s="650">
        <f t="shared" si="3"/>
        <v>255701.43912110134</v>
      </c>
      <c r="I27" s="650">
        <f t="shared" si="3"/>
        <v>39655.022156606341</v>
      </c>
      <c r="J27" s="650">
        <f t="shared" si="3"/>
        <v>0</v>
      </c>
      <c r="K27" s="650">
        <f t="shared" si="3"/>
        <v>2599.5043020222392</v>
      </c>
      <c r="L27" s="650">
        <f t="shared" si="3"/>
        <v>0</v>
      </c>
      <c r="M27" s="650">
        <f t="shared" ca="1" si="3"/>
        <v>0</v>
      </c>
      <c r="N27" s="650">
        <f t="shared" si="3"/>
        <v>13351.229558299377</v>
      </c>
      <c r="O27" s="650">
        <f t="shared" ca="1" si="3"/>
        <v>41821.695330942872</v>
      </c>
      <c r="P27" s="650">
        <f t="shared" si="3"/>
        <v>594.06666666666672</v>
      </c>
      <c r="Q27" s="650">
        <f t="shared" si="3"/>
        <v>438.5333333333333</v>
      </c>
      <c r="R27" s="650">
        <f t="shared" ca="1" si="3"/>
        <v>985751.39765454922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12298.579179209608</v>
      </c>
      <c r="D40" s="640">
        <f ca="1">tertiair!C20</f>
        <v>0</v>
      </c>
      <c r="E40" s="640">
        <f ca="1">tertiair!D20</f>
        <v>6958.3682091440005</v>
      </c>
      <c r="F40" s="640">
        <f>tertiair!E20</f>
        <v>70.736752259197246</v>
      </c>
      <c r="G40" s="640">
        <f ca="1">tertiair!F20</f>
        <v>2084.1030688693941</v>
      </c>
      <c r="H40" s="640">
        <f>tertiair!G20</f>
        <v>0</v>
      </c>
      <c r="I40" s="640">
        <f>tertiair!H20</f>
        <v>0</v>
      </c>
      <c r="J40" s="640">
        <f>tertiair!I20</f>
        <v>0</v>
      </c>
      <c r="K40" s="640">
        <f>tertiair!J20</f>
        <v>11.318041539337152</v>
      </c>
      <c r="L40" s="640">
        <f>tertiair!K20</f>
        <v>0</v>
      </c>
      <c r="M40" s="640">
        <f ca="1">tertiair!L20</f>
        <v>0</v>
      </c>
      <c r="N40" s="640">
        <f>tertiair!M20</f>
        <v>0</v>
      </c>
      <c r="O40" s="640">
        <f ca="1">tertiair!N20</f>
        <v>0</v>
      </c>
      <c r="P40" s="640">
        <f>tertiair!O20</f>
        <v>0</v>
      </c>
      <c r="Q40" s="717">
        <f>tertiair!P20</f>
        <v>0</v>
      </c>
      <c r="R40" s="795">
        <f t="shared" ca="1" si="4"/>
        <v>21423.105251021534</v>
      </c>
    </row>
    <row r="41" spans="1:18">
      <c r="A41" s="767" t="s">
        <v>214</v>
      </c>
      <c r="B41" s="774"/>
      <c r="C41" s="640">
        <f ca="1">huishoudens!B12</f>
        <v>12699.52083128845</v>
      </c>
      <c r="D41" s="640">
        <f ca="1">huishoudens!C12</f>
        <v>0</v>
      </c>
      <c r="E41" s="640">
        <f>huishoudens!D12</f>
        <v>27186.345813528002</v>
      </c>
      <c r="F41" s="640">
        <f>huishoudens!E12</f>
        <v>950.71181000237209</v>
      </c>
      <c r="G41" s="640">
        <f>huishoudens!F12</f>
        <v>34268.935845978733</v>
      </c>
      <c r="H41" s="640">
        <f>huishoudens!G12</f>
        <v>0</v>
      </c>
      <c r="I41" s="640">
        <f>huishoudens!H12</f>
        <v>0</v>
      </c>
      <c r="J41" s="640">
        <f>huishoudens!I12</f>
        <v>0</v>
      </c>
      <c r="K41" s="640">
        <f>huishoudens!J12</f>
        <v>860.45256539853847</v>
      </c>
      <c r="L41" s="640">
        <f>huishoudens!K12</f>
        <v>0</v>
      </c>
      <c r="M41" s="640">
        <f>huishoudens!L12</f>
        <v>0</v>
      </c>
      <c r="N41" s="640">
        <f>huishoudens!M12</f>
        <v>0</v>
      </c>
      <c r="O41" s="640">
        <f>huishoudens!N12</f>
        <v>0</v>
      </c>
      <c r="P41" s="640">
        <f>huishoudens!O12</f>
        <v>0</v>
      </c>
      <c r="Q41" s="717">
        <f>huishoudens!P12</f>
        <v>0</v>
      </c>
      <c r="R41" s="795">
        <f t="shared" ca="1" si="4"/>
        <v>75965.96686619609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14511.295811535741</v>
      </c>
      <c r="D43" s="640">
        <f ca="1">industrie!C22</f>
        <v>0</v>
      </c>
      <c r="E43" s="640">
        <f>industrie!D22</f>
        <v>7986.1518205040011</v>
      </c>
      <c r="F43" s="640">
        <f>industrie!E22</f>
        <v>802.21286010976257</v>
      </c>
      <c r="G43" s="640">
        <f>industrie!F22</f>
        <v>15033.308856708174</v>
      </c>
      <c r="H43" s="640">
        <f>industrie!G22</f>
        <v>0</v>
      </c>
      <c r="I43" s="640">
        <f>industrie!H22</f>
        <v>0</v>
      </c>
      <c r="J43" s="640">
        <f>industrie!I22</f>
        <v>0</v>
      </c>
      <c r="K43" s="640">
        <f>industrie!J22</f>
        <v>24.649139554673987</v>
      </c>
      <c r="L43" s="640">
        <f>industrie!K22</f>
        <v>0</v>
      </c>
      <c r="M43" s="640">
        <f>industrie!L22</f>
        <v>0</v>
      </c>
      <c r="N43" s="640">
        <f>industrie!M22</f>
        <v>0</v>
      </c>
      <c r="O43" s="640">
        <f>industrie!N22</f>
        <v>0</v>
      </c>
      <c r="P43" s="640">
        <f>industrie!O22</f>
        <v>0</v>
      </c>
      <c r="Q43" s="717">
        <f>industrie!P22</f>
        <v>0</v>
      </c>
      <c r="R43" s="794">
        <f t="shared" ca="1" si="4"/>
        <v>38357.618488412358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39509.395822033795</v>
      </c>
      <c r="D46" s="675">
        <f t="shared" ref="D46:Q46" ca="1" si="5">SUM(D39:D45)</f>
        <v>0</v>
      </c>
      <c r="E46" s="675">
        <f t="shared" ca="1" si="5"/>
        <v>42130.865843175998</v>
      </c>
      <c r="F46" s="675">
        <f t="shared" si="5"/>
        <v>1823.6614223713318</v>
      </c>
      <c r="G46" s="675">
        <f t="shared" ca="1" si="5"/>
        <v>51386.347771556299</v>
      </c>
      <c r="H46" s="675">
        <f t="shared" si="5"/>
        <v>0</v>
      </c>
      <c r="I46" s="675">
        <f t="shared" si="5"/>
        <v>0</v>
      </c>
      <c r="J46" s="675">
        <f t="shared" si="5"/>
        <v>0</v>
      </c>
      <c r="K46" s="675">
        <f t="shared" si="5"/>
        <v>896.41974649254962</v>
      </c>
      <c r="L46" s="675">
        <f t="shared" si="5"/>
        <v>0</v>
      </c>
      <c r="M46" s="675">
        <f t="shared" ca="1" si="5"/>
        <v>0</v>
      </c>
      <c r="N46" s="675">
        <f t="shared" si="5"/>
        <v>0</v>
      </c>
      <c r="O46" s="675">
        <f t="shared" ca="1" si="5"/>
        <v>0</v>
      </c>
      <c r="P46" s="675">
        <f t="shared" si="5"/>
        <v>0</v>
      </c>
      <c r="Q46" s="675">
        <f t="shared" si="5"/>
        <v>0</v>
      </c>
      <c r="R46" s="675">
        <f ca="1">SUM(R39:R45)</f>
        <v>135746.69060562999</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5.4914615997321086</v>
      </c>
      <c r="D49" s="640">
        <f ca="1">transport!C58</f>
        <v>0</v>
      </c>
      <c r="E49" s="640">
        <f>transport!D58</f>
        <v>0</v>
      </c>
      <c r="F49" s="640">
        <f>transport!E58</f>
        <v>0</v>
      </c>
      <c r="G49" s="640">
        <f>transport!F58</f>
        <v>0</v>
      </c>
      <c r="H49" s="640">
        <f>transport!G58</f>
        <v>1376.8010838373259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1382.2925454370579</v>
      </c>
    </row>
    <row r="50" spans="1:18">
      <c r="A50" s="770" t="s">
        <v>296</v>
      </c>
      <c r="B50" s="780"/>
      <c r="C50" s="646">
        <f ca="1">transport!B18</f>
        <v>4.7600551226662953</v>
      </c>
      <c r="D50" s="646">
        <f>transport!C18</f>
        <v>0</v>
      </c>
      <c r="E50" s="646">
        <f>transport!D18</f>
        <v>4.2857243769380915</v>
      </c>
      <c r="F50" s="646">
        <f>transport!E18</f>
        <v>190.43034397797263</v>
      </c>
      <c r="G50" s="646">
        <f>transport!F18</f>
        <v>0</v>
      </c>
      <c r="H50" s="646">
        <f>transport!G18</f>
        <v>66895.483161496741</v>
      </c>
      <c r="I50" s="646">
        <f>transport!H18</f>
        <v>9874.1005169949785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76969.059801969299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10.251516722398403</v>
      </c>
      <c r="D52" s="675">
        <f t="shared" ref="D52:Q52" ca="1" si="6">SUM(D48:D51)</f>
        <v>0</v>
      </c>
      <c r="E52" s="675">
        <f t="shared" si="6"/>
        <v>4.2857243769380915</v>
      </c>
      <c r="F52" s="675">
        <f t="shared" si="6"/>
        <v>190.43034397797263</v>
      </c>
      <c r="G52" s="675">
        <f t="shared" si="6"/>
        <v>0</v>
      </c>
      <c r="H52" s="675">
        <f t="shared" si="6"/>
        <v>68272.284245334071</v>
      </c>
      <c r="I52" s="675">
        <f t="shared" si="6"/>
        <v>9874.1005169949785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78351.352347406355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121.53214748038796</v>
      </c>
      <c r="D54" s="646">
        <f ca="1">+landbouw!C12</f>
        <v>5.0500000000000007</v>
      </c>
      <c r="E54" s="646">
        <f>+landbouw!D12</f>
        <v>38.037923100000008</v>
      </c>
      <c r="F54" s="646">
        <f>+landbouw!E12</f>
        <v>2.7635867783725199</v>
      </c>
      <c r="G54" s="646">
        <f>+landbouw!F12</f>
        <v>553.22566306678493</v>
      </c>
      <c r="H54" s="646">
        <f>+landbouw!G12</f>
        <v>0</v>
      </c>
      <c r="I54" s="646">
        <f>+landbouw!H12</f>
        <v>0</v>
      </c>
      <c r="J54" s="646">
        <f>+landbouw!I12</f>
        <v>0</v>
      </c>
      <c r="K54" s="646">
        <f>+landbouw!J12</f>
        <v>23.804776423322835</v>
      </c>
      <c r="L54" s="646">
        <f>+landbouw!K12</f>
        <v>0</v>
      </c>
      <c r="M54" s="646">
        <f>+landbouw!L12</f>
        <v>0</v>
      </c>
      <c r="N54" s="646">
        <f>+landbouw!M12</f>
        <v>0</v>
      </c>
      <c r="O54" s="646">
        <f>+landbouw!N12</f>
        <v>0</v>
      </c>
      <c r="P54" s="646">
        <f>+landbouw!O12</f>
        <v>0</v>
      </c>
      <c r="Q54" s="647">
        <f>+landbouw!P12</f>
        <v>0</v>
      </c>
      <c r="R54" s="674">
        <f ca="1">SUM(C54:Q54)</f>
        <v>744.41409684886821</v>
      </c>
    </row>
    <row r="55" spans="1:18" ht="15" thickBot="1">
      <c r="A55" s="770" t="s">
        <v>806</v>
      </c>
      <c r="B55" s="780"/>
      <c r="C55" s="646">
        <f ca="1">C25*'EF ele_warmte'!B12</f>
        <v>495.77277447775754</v>
      </c>
      <c r="D55" s="646"/>
      <c r="E55" s="646">
        <f>E25*EF_CO2_aardgas</f>
        <v>5200.1484180000007</v>
      </c>
      <c r="F55" s="646"/>
      <c r="G55" s="646"/>
      <c r="H55" s="646"/>
      <c r="I55" s="646"/>
      <c r="J55" s="646"/>
      <c r="K55" s="646"/>
      <c r="L55" s="646"/>
      <c r="M55" s="646"/>
      <c r="N55" s="646"/>
      <c r="O55" s="646"/>
      <c r="P55" s="646"/>
      <c r="Q55" s="647"/>
      <c r="R55" s="674">
        <f ca="1">SUM(C55:Q55)</f>
        <v>5695.9211924777583</v>
      </c>
    </row>
    <row r="56" spans="1:18" ht="15.75" thickBot="1">
      <c r="A56" s="768" t="s">
        <v>807</v>
      </c>
      <c r="B56" s="781"/>
      <c r="C56" s="675">
        <f ca="1">SUM(C54:C55)</f>
        <v>617.30492195814554</v>
      </c>
      <c r="D56" s="675">
        <f t="shared" ref="D56:Q56" ca="1" si="7">SUM(D54:D55)</f>
        <v>5.0500000000000007</v>
      </c>
      <c r="E56" s="675">
        <f t="shared" si="7"/>
        <v>5238.1863411000004</v>
      </c>
      <c r="F56" s="675">
        <f t="shared" si="7"/>
        <v>2.7635867783725199</v>
      </c>
      <c r="G56" s="675">
        <f t="shared" si="7"/>
        <v>553.22566306678493</v>
      </c>
      <c r="H56" s="675">
        <f t="shared" si="7"/>
        <v>0</v>
      </c>
      <c r="I56" s="675">
        <f t="shared" si="7"/>
        <v>0</v>
      </c>
      <c r="J56" s="675">
        <f t="shared" si="7"/>
        <v>0</v>
      </c>
      <c r="K56" s="675">
        <f t="shared" si="7"/>
        <v>23.804776423322835</v>
      </c>
      <c r="L56" s="675">
        <f t="shared" si="7"/>
        <v>0</v>
      </c>
      <c r="M56" s="675">
        <f t="shared" si="7"/>
        <v>0</v>
      </c>
      <c r="N56" s="675">
        <f t="shared" si="7"/>
        <v>0</v>
      </c>
      <c r="O56" s="675">
        <f t="shared" si="7"/>
        <v>0</v>
      </c>
      <c r="P56" s="675">
        <f t="shared" si="7"/>
        <v>0</v>
      </c>
      <c r="Q56" s="676">
        <f t="shared" si="7"/>
        <v>0</v>
      </c>
      <c r="R56" s="677">
        <f ca="1">SUM(R54:R55)</f>
        <v>6440.3352893266265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40136.952260714337</v>
      </c>
      <c r="D61" s="683">
        <f t="shared" ref="D61:Q61" ca="1" si="8">D46+D52+D56</f>
        <v>5.0500000000000007</v>
      </c>
      <c r="E61" s="683">
        <f t="shared" ca="1" si="8"/>
        <v>47373.337908652938</v>
      </c>
      <c r="F61" s="683">
        <f t="shared" si="8"/>
        <v>2016.8553531276768</v>
      </c>
      <c r="G61" s="683">
        <f t="shared" ca="1" si="8"/>
        <v>51939.573434623082</v>
      </c>
      <c r="H61" s="683">
        <f t="shared" si="8"/>
        <v>68272.284245334071</v>
      </c>
      <c r="I61" s="683">
        <f t="shared" si="8"/>
        <v>9874.1005169949785</v>
      </c>
      <c r="J61" s="683">
        <f t="shared" si="8"/>
        <v>0</v>
      </c>
      <c r="K61" s="683">
        <f t="shared" si="8"/>
        <v>920.22452291587251</v>
      </c>
      <c r="L61" s="683">
        <f t="shared" si="8"/>
        <v>0</v>
      </c>
      <c r="M61" s="683">
        <f t="shared" ca="1" si="8"/>
        <v>0</v>
      </c>
      <c r="N61" s="683">
        <f t="shared" si="8"/>
        <v>0</v>
      </c>
      <c r="O61" s="683">
        <f t="shared" ca="1" si="8"/>
        <v>0</v>
      </c>
      <c r="P61" s="683">
        <f t="shared" si="8"/>
        <v>0</v>
      </c>
      <c r="Q61" s="683">
        <f t="shared" si="8"/>
        <v>0</v>
      </c>
      <c r="R61" s="683">
        <f ca="1">R46+R52+R56</f>
        <v>220538.37824236296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0.20728591661019055</v>
      </c>
      <c r="D63" s="726">
        <f t="shared" ca="1" si="9"/>
        <v>0.22444444444444447</v>
      </c>
      <c r="E63" s="946">
        <f t="shared" ca="1" si="9"/>
        <v>0.20200000000000001</v>
      </c>
      <c r="F63" s="726">
        <f t="shared" si="9"/>
        <v>0.22699999999999995</v>
      </c>
      <c r="G63" s="726">
        <f t="shared" ca="1" si="9"/>
        <v>0.26699999999999996</v>
      </c>
      <c r="H63" s="726">
        <f t="shared" si="9"/>
        <v>0.26700000000000007</v>
      </c>
      <c r="I63" s="726">
        <f t="shared" si="9"/>
        <v>0.249</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12015.770998461907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4.5</v>
      </c>
      <c r="D76" s="956">
        <f>'lokale energieproductie'!C8</f>
        <v>5</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1.01</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12015.770998461907</v>
      </c>
      <c r="C78" s="698">
        <f>SUM(C72:C77)</f>
        <v>4.5</v>
      </c>
      <c r="D78" s="699">
        <f t="shared" ref="D78:H78" si="10">SUM(D76:D77)</f>
        <v>5</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1.01</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22.5</v>
      </c>
      <c r="D87" s="720">
        <f>'lokale energieproductie'!C17</f>
        <v>25</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5.0500000000000007</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22.5</v>
      </c>
      <c r="D90" s="698">
        <f t="shared" ref="D90:H90" si="12">SUM(D87:D89)</f>
        <v>25</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5.0500000000000007</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61265.719538343765</v>
      </c>
      <c r="C4" s="448">
        <f>huishoudens!C8</f>
        <v>0</v>
      </c>
      <c r="D4" s="448">
        <f>huishoudens!D8</f>
        <v>134585.870364</v>
      </c>
      <c r="E4" s="448">
        <f>huishoudens!E8</f>
        <v>4188.1577533144145</v>
      </c>
      <c r="F4" s="448">
        <f>huishoudens!F8</f>
        <v>128348.07432950837</v>
      </c>
      <c r="G4" s="448">
        <f>huishoudens!G8</f>
        <v>0</v>
      </c>
      <c r="H4" s="448">
        <f>huishoudens!H8</f>
        <v>0</v>
      </c>
      <c r="I4" s="448">
        <f>huishoudens!I8</f>
        <v>0</v>
      </c>
      <c r="J4" s="448">
        <f>huishoudens!J8</f>
        <v>2430.6569644026513</v>
      </c>
      <c r="K4" s="448">
        <f>huishoudens!K8</f>
        <v>0</v>
      </c>
      <c r="L4" s="448">
        <f>huishoudens!L8</f>
        <v>0</v>
      </c>
      <c r="M4" s="448">
        <f>huishoudens!M8</f>
        <v>0</v>
      </c>
      <c r="N4" s="448">
        <f>huishoudens!N8</f>
        <v>23804.178843894511</v>
      </c>
      <c r="O4" s="448">
        <f>huishoudens!O8</f>
        <v>594.06666666666672</v>
      </c>
      <c r="P4" s="449">
        <f>huishoudens!P8</f>
        <v>438.5333333333333</v>
      </c>
      <c r="Q4" s="450">
        <f>SUM(B4:P4)</f>
        <v>355655.25779346365</v>
      </c>
    </row>
    <row r="5" spans="1:17">
      <c r="A5" s="447" t="s">
        <v>149</v>
      </c>
      <c r="B5" s="448">
        <f ca="1">tertiair!B16</f>
        <v>57136.952000000005</v>
      </c>
      <c r="C5" s="448">
        <f ca="1">tertiair!C16</f>
        <v>0</v>
      </c>
      <c r="D5" s="448">
        <f ca="1">tertiair!D16</f>
        <v>34447.367372000001</v>
      </c>
      <c r="E5" s="448">
        <f>tertiair!E16</f>
        <v>311.61564871893057</v>
      </c>
      <c r="F5" s="448">
        <f ca="1">tertiair!F16</f>
        <v>7805.6294714209516</v>
      </c>
      <c r="G5" s="448">
        <f>tertiair!G16</f>
        <v>0</v>
      </c>
      <c r="H5" s="448">
        <f>tertiair!H16</f>
        <v>0</v>
      </c>
      <c r="I5" s="448">
        <f>tertiair!I16</f>
        <v>0</v>
      </c>
      <c r="J5" s="448">
        <f>tertiair!J16</f>
        <v>31.971868755189696</v>
      </c>
      <c r="K5" s="448">
        <f>tertiair!K16</f>
        <v>0</v>
      </c>
      <c r="L5" s="448">
        <f ca="1">tertiair!L16</f>
        <v>0</v>
      </c>
      <c r="M5" s="448">
        <f>tertiair!M16</f>
        <v>0</v>
      </c>
      <c r="N5" s="448">
        <f ca="1">tertiair!N16</f>
        <v>7582.1161105757183</v>
      </c>
      <c r="O5" s="448">
        <f>tertiair!O16</f>
        <v>0</v>
      </c>
      <c r="P5" s="449">
        <f>tertiair!P16</f>
        <v>0</v>
      </c>
      <c r="Q5" s="447">
        <f t="shared" ref="Q5:Q14" ca="1" si="0">SUM(B5:P5)</f>
        <v>107315.65247147079</v>
      </c>
    </row>
    <row r="6" spans="1:17">
      <c r="A6" s="447" t="s">
        <v>187</v>
      </c>
      <c r="B6" s="448">
        <f>'openbare verlichting'!B8</f>
        <v>2194.5230000000001</v>
      </c>
      <c r="C6" s="448"/>
      <c r="D6" s="448"/>
      <c r="E6" s="448"/>
      <c r="F6" s="448"/>
      <c r="G6" s="448"/>
      <c r="H6" s="448"/>
      <c r="I6" s="448"/>
      <c r="J6" s="448"/>
      <c r="K6" s="448"/>
      <c r="L6" s="448"/>
      <c r="M6" s="448"/>
      <c r="N6" s="448"/>
      <c r="O6" s="448"/>
      <c r="P6" s="449"/>
      <c r="Q6" s="447">
        <f t="shared" si="0"/>
        <v>2194.5230000000001</v>
      </c>
    </row>
    <row r="7" spans="1:17">
      <c r="A7" s="447" t="s">
        <v>105</v>
      </c>
      <c r="B7" s="448">
        <f>landbouw!B8</f>
        <v>586.30200000000002</v>
      </c>
      <c r="C7" s="448">
        <f>landbouw!C8</f>
        <v>22.5</v>
      </c>
      <c r="D7" s="448">
        <f>landbouw!D8</f>
        <v>188.30655000000002</v>
      </c>
      <c r="E7" s="448">
        <f>landbouw!E8</f>
        <v>12.174391094152069</v>
      </c>
      <c r="F7" s="448">
        <f>landbouw!F8</f>
        <v>2072.0062287145502</v>
      </c>
      <c r="G7" s="448">
        <f>landbouw!G8</f>
        <v>0</v>
      </c>
      <c r="H7" s="448">
        <f>landbouw!H8</f>
        <v>0</v>
      </c>
      <c r="I7" s="448">
        <f>landbouw!I8</f>
        <v>0</v>
      </c>
      <c r="J7" s="448">
        <f>landbouw!J8</f>
        <v>67.245131139330041</v>
      </c>
      <c r="K7" s="448">
        <f>landbouw!K8</f>
        <v>0</v>
      </c>
      <c r="L7" s="448">
        <f>landbouw!L8</f>
        <v>0</v>
      </c>
      <c r="M7" s="448">
        <f>landbouw!M8</f>
        <v>0</v>
      </c>
      <c r="N7" s="448">
        <f>landbouw!N8</f>
        <v>0</v>
      </c>
      <c r="O7" s="448">
        <f>landbouw!O8</f>
        <v>0</v>
      </c>
      <c r="P7" s="449">
        <f>landbouw!P8</f>
        <v>0</v>
      </c>
      <c r="Q7" s="447">
        <f t="shared" si="0"/>
        <v>2948.5343009480325</v>
      </c>
    </row>
    <row r="8" spans="1:17">
      <c r="A8" s="447" t="s">
        <v>614</v>
      </c>
      <c r="B8" s="448">
        <f>industrie!B18</f>
        <v>70006.183000000005</v>
      </c>
      <c r="C8" s="448">
        <f>industrie!C18</f>
        <v>0</v>
      </c>
      <c r="D8" s="448">
        <f>industrie!D18</f>
        <v>39535.405052000002</v>
      </c>
      <c r="E8" s="448">
        <f>industrie!E18</f>
        <v>3533.9773573117295</v>
      </c>
      <c r="F8" s="448">
        <f>industrie!F18</f>
        <v>56304.527553214131</v>
      </c>
      <c r="G8" s="448">
        <f>industrie!G18</f>
        <v>0</v>
      </c>
      <c r="H8" s="448">
        <f>industrie!H18</f>
        <v>0</v>
      </c>
      <c r="I8" s="448">
        <f>industrie!I18</f>
        <v>0</v>
      </c>
      <c r="J8" s="448">
        <f>industrie!J18</f>
        <v>69.630337725067761</v>
      </c>
      <c r="K8" s="448">
        <f>industrie!K18</f>
        <v>0</v>
      </c>
      <c r="L8" s="448">
        <f>industrie!L18</f>
        <v>0</v>
      </c>
      <c r="M8" s="448">
        <f>industrie!M18</f>
        <v>0</v>
      </c>
      <c r="N8" s="448">
        <f>industrie!N18</f>
        <v>10435.400376472642</v>
      </c>
      <c r="O8" s="448">
        <f>industrie!O18</f>
        <v>0</v>
      </c>
      <c r="P8" s="449">
        <f>industrie!P18</f>
        <v>0</v>
      </c>
      <c r="Q8" s="447">
        <f t="shared" si="0"/>
        <v>179885.1236767236</v>
      </c>
    </row>
    <row r="9" spans="1:17" s="453" customFormat="1">
      <c r="A9" s="451" t="s">
        <v>555</v>
      </c>
      <c r="B9" s="452">
        <f>transport!B14</f>
        <v>22.963716978504472</v>
      </c>
      <c r="C9" s="452">
        <f>transport!C14</f>
        <v>0</v>
      </c>
      <c r="D9" s="452">
        <f>transport!D14</f>
        <v>21.216457311574711</v>
      </c>
      <c r="E9" s="452">
        <f>transport!E14</f>
        <v>838.9001937355622</v>
      </c>
      <c r="F9" s="452">
        <f>transport!F14</f>
        <v>0</v>
      </c>
      <c r="G9" s="452">
        <f>transport!G14</f>
        <v>250544.8807546694</v>
      </c>
      <c r="H9" s="452">
        <f>transport!H14</f>
        <v>39655.022156606341</v>
      </c>
      <c r="I9" s="452">
        <f>transport!I14</f>
        <v>0</v>
      </c>
      <c r="J9" s="452">
        <f>transport!J14</f>
        <v>0</v>
      </c>
      <c r="K9" s="452">
        <f>transport!K14</f>
        <v>0</v>
      </c>
      <c r="L9" s="452">
        <f>transport!L14</f>
        <v>0</v>
      </c>
      <c r="M9" s="452">
        <f>transport!M14</f>
        <v>13120.005148271393</v>
      </c>
      <c r="N9" s="452">
        <f>transport!N14</f>
        <v>0</v>
      </c>
      <c r="O9" s="452">
        <f>transport!O14</f>
        <v>0</v>
      </c>
      <c r="P9" s="452">
        <f>transport!P14</f>
        <v>0</v>
      </c>
      <c r="Q9" s="451">
        <f>SUM(B9:P9)</f>
        <v>304202.98842757277</v>
      </c>
    </row>
    <row r="10" spans="1:17">
      <c r="A10" s="447" t="s">
        <v>545</v>
      </c>
      <c r="B10" s="448">
        <f>transport!B54</f>
        <v>26.492207910386025</v>
      </c>
      <c r="C10" s="448">
        <f>transport!C54</f>
        <v>0</v>
      </c>
      <c r="D10" s="448">
        <f>transport!D54</f>
        <v>0</v>
      </c>
      <c r="E10" s="448">
        <f>transport!E54</f>
        <v>0</v>
      </c>
      <c r="F10" s="448">
        <f>transport!F54</f>
        <v>0</v>
      </c>
      <c r="G10" s="448">
        <f>transport!G54</f>
        <v>5156.558366431932</v>
      </c>
      <c r="H10" s="448">
        <f>transport!H54</f>
        <v>0</v>
      </c>
      <c r="I10" s="448">
        <f>transport!I54</f>
        <v>0</v>
      </c>
      <c r="J10" s="448">
        <f>transport!J54</f>
        <v>0</v>
      </c>
      <c r="K10" s="448">
        <f>transport!K54</f>
        <v>0</v>
      </c>
      <c r="L10" s="448">
        <f>transport!L54</f>
        <v>0</v>
      </c>
      <c r="M10" s="448">
        <f>transport!M54</f>
        <v>231.22441002798439</v>
      </c>
      <c r="N10" s="448">
        <f>transport!N54</f>
        <v>0</v>
      </c>
      <c r="O10" s="448">
        <f>transport!O54</f>
        <v>0</v>
      </c>
      <c r="P10" s="449">
        <f>transport!P54</f>
        <v>0</v>
      </c>
      <c r="Q10" s="447">
        <f t="shared" si="0"/>
        <v>5414.2749843703023</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2391.7339999999999</v>
      </c>
      <c r="C14" s="455"/>
      <c r="D14" s="455">
        <f>'SEAP template'!E25</f>
        <v>25743.309000000001</v>
      </c>
      <c r="E14" s="455"/>
      <c r="F14" s="455"/>
      <c r="G14" s="455"/>
      <c r="H14" s="455"/>
      <c r="I14" s="455"/>
      <c r="J14" s="455"/>
      <c r="K14" s="455"/>
      <c r="L14" s="455"/>
      <c r="M14" s="455"/>
      <c r="N14" s="455"/>
      <c r="O14" s="455"/>
      <c r="P14" s="456"/>
      <c r="Q14" s="447">
        <f t="shared" si="0"/>
        <v>28135.043000000001</v>
      </c>
    </row>
    <row r="15" spans="1:17" s="460" customFormat="1">
      <c r="A15" s="457" t="s">
        <v>549</v>
      </c>
      <c r="B15" s="458">
        <f ca="1">SUM(B4:B14)</f>
        <v>193630.86946323267</v>
      </c>
      <c r="C15" s="458">
        <f t="shared" ref="C15:Q15" ca="1" si="1">SUM(C4:C14)</f>
        <v>22.5</v>
      </c>
      <c r="D15" s="458">
        <f t="shared" ca="1" si="1"/>
        <v>234521.47479531163</v>
      </c>
      <c r="E15" s="458">
        <f t="shared" si="1"/>
        <v>8884.8253441747893</v>
      </c>
      <c r="F15" s="458">
        <f t="shared" ca="1" si="1"/>
        <v>194530.23758285801</v>
      </c>
      <c r="G15" s="458">
        <f t="shared" si="1"/>
        <v>255701.43912110134</v>
      </c>
      <c r="H15" s="458">
        <f t="shared" si="1"/>
        <v>39655.022156606341</v>
      </c>
      <c r="I15" s="458">
        <f t="shared" si="1"/>
        <v>0</v>
      </c>
      <c r="J15" s="458">
        <f t="shared" si="1"/>
        <v>2599.5043020222392</v>
      </c>
      <c r="K15" s="458">
        <f t="shared" si="1"/>
        <v>0</v>
      </c>
      <c r="L15" s="458">
        <f t="shared" ca="1" si="1"/>
        <v>0</v>
      </c>
      <c r="M15" s="458">
        <f t="shared" si="1"/>
        <v>13351.229558299377</v>
      </c>
      <c r="N15" s="458">
        <f t="shared" ca="1" si="1"/>
        <v>41821.695330942872</v>
      </c>
      <c r="O15" s="458">
        <f t="shared" si="1"/>
        <v>594.06666666666672</v>
      </c>
      <c r="P15" s="458">
        <f t="shared" si="1"/>
        <v>438.5333333333333</v>
      </c>
      <c r="Q15" s="458">
        <f t="shared" ca="1" si="1"/>
        <v>985751.3976545491</v>
      </c>
    </row>
    <row r="17" spans="1:17">
      <c r="A17" s="461" t="s">
        <v>550</v>
      </c>
      <c r="B17" s="731">
        <f ca="1">huishoudens!B10</f>
        <v>0.20728591661019058</v>
      </c>
      <c r="C17" s="731">
        <f ca="1">huishoudens!C10</f>
        <v>0.22444444444444447</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12699.52083128845</v>
      </c>
      <c r="C22" s="448">
        <f t="shared" ref="C22:C32" ca="1" si="3">C4*$C$17</f>
        <v>0</v>
      </c>
      <c r="D22" s="448">
        <f t="shared" ref="D22:D32" si="4">D4*$D$17</f>
        <v>27186.345813528002</v>
      </c>
      <c r="E22" s="448">
        <f t="shared" ref="E22:E32" si="5">E4*$E$17</f>
        <v>950.71181000237209</v>
      </c>
      <c r="F22" s="448">
        <f t="shared" ref="F22:F32" si="6">F4*$F$17</f>
        <v>34268.935845978733</v>
      </c>
      <c r="G22" s="448">
        <f t="shared" ref="G22:G32" si="7">G4*$G$17</f>
        <v>0</v>
      </c>
      <c r="H22" s="448">
        <f t="shared" ref="H22:H32" si="8">H4*$H$17</f>
        <v>0</v>
      </c>
      <c r="I22" s="448">
        <f t="shared" ref="I22:I32" si="9">I4*$I$17</f>
        <v>0</v>
      </c>
      <c r="J22" s="448">
        <f t="shared" ref="J22:J32" si="10">J4*$J$17</f>
        <v>860.45256539853847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75965.96686619609</v>
      </c>
    </row>
    <row r="23" spans="1:17">
      <c r="A23" s="447" t="s">
        <v>149</v>
      </c>
      <c r="B23" s="448">
        <f t="shared" ca="1" si="2"/>
        <v>11843.685467632462</v>
      </c>
      <c r="C23" s="448">
        <f t="shared" ca="1" si="3"/>
        <v>0</v>
      </c>
      <c r="D23" s="448">
        <f t="shared" ca="1" si="4"/>
        <v>6958.3682091440005</v>
      </c>
      <c r="E23" s="448">
        <f t="shared" si="5"/>
        <v>70.736752259197246</v>
      </c>
      <c r="F23" s="448">
        <f t="shared" ca="1" si="6"/>
        <v>2084.1030688693941</v>
      </c>
      <c r="G23" s="448">
        <f t="shared" si="7"/>
        <v>0</v>
      </c>
      <c r="H23" s="448">
        <f t="shared" si="8"/>
        <v>0</v>
      </c>
      <c r="I23" s="448">
        <f t="shared" si="9"/>
        <v>0</v>
      </c>
      <c r="J23" s="448">
        <f t="shared" si="10"/>
        <v>11.318041539337152</v>
      </c>
      <c r="K23" s="448">
        <f t="shared" si="11"/>
        <v>0</v>
      </c>
      <c r="L23" s="448">
        <f t="shared" ca="1" si="12"/>
        <v>0</v>
      </c>
      <c r="M23" s="448">
        <f t="shared" si="13"/>
        <v>0</v>
      </c>
      <c r="N23" s="448">
        <f t="shared" ca="1" si="14"/>
        <v>0</v>
      </c>
      <c r="O23" s="448">
        <f t="shared" si="15"/>
        <v>0</v>
      </c>
      <c r="P23" s="449">
        <f t="shared" si="16"/>
        <v>0</v>
      </c>
      <c r="Q23" s="447">
        <f t="shared" ref="Q23:Q32" ca="1" si="17">SUM(B23:P23)</f>
        <v>20968.21153944439</v>
      </c>
    </row>
    <row r="24" spans="1:17">
      <c r="A24" s="447" t="s">
        <v>187</v>
      </c>
      <c r="B24" s="448">
        <f t="shared" ca="1" si="2"/>
        <v>454.89371157714527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454.89371157714527</v>
      </c>
    </row>
    <row r="25" spans="1:17">
      <c r="A25" s="447" t="s">
        <v>105</v>
      </c>
      <c r="B25" s="448">
        <f t="shared" ca="1" si="2"/>
        <v>121.53214748038796</v>
      </c>
      <c r="C25" s="448">
        <f t="shared" ca="1" si="3"/>
        <v>5.0500000000000007</v>
      </c>
      <c r="D25" s="448">
        <f t="shared" si="4"/>
        <v>38.037923100000008</v>
      </c>
      <c r="E25" s="448">
        <f t="shared" si="5"/>
        <v>2.7635867783725199</v>
      </c>
      <c r="F25" s="448">
        <f t="shared" si="6"/>
        <v>553.22566306678493</v>
      </c>
      <c r="G25" s="448">
        <f t="shared" si="7"/>
        <v>0</v>
      </c>
      <c r="H25" s="448">
        <f t="shared" si="8"/>
        <v>0</v>
      </c>
      <c r="I25" s="448">
        <f t="shared" si="9"/>
        <v>0</v>
      </c>
      <c r="J25" s="448">
        <f t="shared" si="10"/>
        <v>23.804776423322835</v>
      </c>
      <c r="K25" s="448">
        <f t="shared" si="11"/>
        <v>0</v>
      </c>
      <c r="L25" s="448">
        <f t="shared" si="12"/>
        <v>0</v>
      </c>
      <c r="M25" s="448">
        <f t="shared" si="13"/>
        <v>0</v>
      </c>
      <c r="N25" s="448">
        <f t="shared" si="14"/>
        <v>0</v>
      </c>
      <c r="O25" s="448">
        <f t="shared" si="15"/>
        <v>0</v>
      </c>
      <c r="P25" s="449">
        <f t="shared" si="16"/>
        <v>0</v>
      </c>
      <c r="Q25" s="447">
        <f t="shared" ca="1" si="17"/>
        <v>744.41409684886821</v>
      </c>
    </row>
    <row r="26" spans="1:17">
      <c r="A26" s="447" t="s">
        <v>614</v>
      </c>
      <c r="B26" s="448">
        <f t="shared" ca="1" si="2"/>
        <v>14511.295811535741</v>
      </c>
      <c r="C26" s="448">
        <f t="shared" ca="1" si="3"/>
        <v>0</v>
      </c>
      <c r="D26" s="448">
        <f t="shared" si="4"/>
        <v>7986.1518205040011</v>
      </c>
      <c r="E26" s="448">
        <f t="shared" si="5"/>
        <v>802.21286010976257</v>
      </c>
      <c r="F26" s="448">
        <f t="shared" si="6"/>
        <v>15033.308856708174</v>
      </c>
      <c r="G26" s="448">
        <f t="shared" si="7"/>
        <v>0</v>
      </c>
      <c r="H26" s="448">
        <f t="shared" si="8"/>
        <v>0</v>
      </c>
      <c r="I26" s="448">
        <f t="shared" si="9"/>
        <v>0</v>
      </c>
      <c r="J26" s="448">
        <f t="shared" si="10"/>
        <v>24.649139554673987</v>
      </c>
      <c r="K26" s="448">
        <f t="shared" si="11"/>
        <v>0</v>
      </c>
      <c r="L26" s="448">
        <f t="shared" si="12"/>
        <v>0</v>
      </c>
      <c r="M26" s="448">
        <f t="shared" si="13"/>
        <v>0</v>
      </c>
      <c r="N26" s="448">
        <f t="shared" si="14"/>
        <v>0</v>
      </c>
      <c r="O26" s="448">
        <f t="shared" si="15"/>
        <v>0</v>
      </c>
      <c r="P26" s="449">
        <f t="shared" si="16"/>
        <v>0</v>
      </c>
      <c r="Q26" s="447">
        <f t="shared" ca="1" si="17"/>
        <v>38357.618488412358</v>
      </c>
    </row>
    <row r="27" spans="1:17" s="453" customFormat="1">
      <c r="A27" s="451" t="s">
        <v>555</v>
      </c>
      <c r="B27" s="725">
        <f t="shared" ca="1" si="2"/>
        <v>4.7600551226662953</v>
      </c>
      <c r="C27" s="452">
        <f t="shared" ca="1" si="3"/>
        <v>0</v>
      </c>
      <c r="D27" s="452">
        <f t="shared" si="4"/>
        <v>4.2857243769380915</v>
      </c>
      <c r="E27" s="452">
        <f t="shared" si="5"/>
        <v>190.43034397797263</v>
      </c>
      <c r="F27" s="452">
        <f t="shared" si="6"/>
        <v>0</v>
      </c>
      <c r="G27" s="452">
        <f t="shared" si="7"/>
        <v>66895.483161496741</v>
      </c>
      <c r="H27" s="452">
        <f t="shared" si="8"/>
        <v>9874.1005169949785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76969.059801969299</v>
      </c>
    </row>
    <row r="28" spans="1:17">
      <c r="A28" s="447" t="s">
        <v>545</v>
      </c>
      <c r="B28" s="448">
        <f t="shared" ca="1" si="2"/>
        <v>5.4914615997321086</v>
      </c>
      <c r="C28" s="448">
        <f t="shared" ca="1" si="3"/>
        <v>0</v>
      </c>
      <c r="D28" s="448">
        <f t="shared" si="4"/>
        <v>0</v>
      </c>
      <c r="E28" s="448">
        <f t="shared" si="5"/>
        <v>0</v>
      </c>
      <c r="F28" s="448">
        <f t="shared" si="6"/>
        <v>0</v>
      </c>
      <c r="G28" s="448">
        <f t="shared" si="7"/>
        <v>1376.8010838373259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1382.2925454370579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495.77277447775754</v>
      </c>
      <c r="C32" s="448">
        <f t="shared" ca="1" si="3"/>
        <v>0</v>
      </c>
      <c r="D32" s="448">
        <f t="shared" si="4"/>
        <v>5200.1484180000007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5695.9211924777583</v>
      </c>
    </row>
    <row r="33" spans="1:17" s="460" customFormat="1">
      <c r="A33" s="457" t="s">
        <v>549</v>
      </c>
      <c r="B33" s="458">
        <f ca="1">SUM(B22:B32)</f>
        <v>40136.952260714344</v>
      </c>
      <c r="C33" s="458">
        <f t="shared" ref="C33:Q33" ca="1" si="18">SUM(C22:C32)</f>
        <v>5.0500000000000007</v>
      </c>
      <c r="D33" s="458">
        <f t="shared" ca="1" si="18"/>
        <v>47373.337908652931</v>
      </c>
      <c r="E33" s="458">
        <f t="shared" si="18"/>
        <v>2016.8553531276768</v>
      </c>
      <c r="F33" s="458">
        <f t="shared" ca="1" si="18"/>
        <v>51939.573434623082</v>
      </c>
      <c r="G33" s="458">
        <f t="shared" si="18"/>
        <v>68272.284245334071</v>
      </c>
      <c r="H33" s="458">
        <f t="shared" si="18"/>
        <v>9874.1005169949785</v>
      </c>
      <c r="I33" s="458">
        <f t="shared" si="18"/>
        <v>0</v>
      </c>
      <c r="J33" s="458">
        <f t="shared" si="18"/>
        <v>920.2245229158724</v>
      </c>
      <c r="K33" s="458">
        <f t="shared" si="18"/>
        <v>0</v>
      </c>
      <c r="L33" s="458">
        <f t="shared" ca="1" si="18"/>
        <v>0</v>
      </c>
      <c r="M33" s="458">
        <f t="shared" si="18"/>
        <v>0</v>
      </c>
      <c r="N33" s="458">
        <f t="shared" ca="1" si="18"/>
        <v>0</v>
      </c>
      <c r="O33" s="458">
        <f t="shared" si="18"/>
        <v>0</v>
      </c>
      <c r="P33" s="458">
        <f t="shared" si="18"/>
        <v>0</v>
      </c>
      <c r="Q33" s="458">
        <f t="shared" ca="1" si="18"/>
        <v>220538.37824236293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12015.770998461907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4.5</v>
      </c>
      <c r="D8" s="982">
        <f>'SEAP template'!D76</f>
        <v>5</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1.01</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12015.770998461907</v>
      </c>
      <c r="C10" s="986">
        <f>SUM(C4:C9)</f>
        <v>4.5</v>
      </c>
      <c r="D10" s="986">
        <f t="shared" ref="D10:H10" si="0">SUM(D8:D9)</f>
        <v>5</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1.01</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0.20728591661019058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22.5</v>
      </c>
      <c r="D17" s="983">
        <f>'SEAP template'!D87</f>
        <v>25</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5.0500000000000007</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22.5</v>
      </c>
      <c r="D20" s="986">
        <f t="shared" ref="D20:H20" si="2">SUM(D17:D19)</f>
        <v>25</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5.0500000000000007</v>
      </c>
    </row>
    <row r="22" spans="1:16">
      <c r="A22" s="461" t="s">
        <v>829</v>
      </c>
      <c r="B22" s="731" t="s">
        <v>823</v>
      </c>
      <c r="C22" s="731">
        <f ca="1">'EF ele_warmte'!B22</f>
        <v>0.22444444444444447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0.20728591661019058</v>
      </c>
      <c r="C17" s="498">
        <f ca="1">'EF ele_warmte'!B22</f>
        <v>0.22444444444444447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2022-07-26T12:15:01Z</dcterms:modified>
</cp:coreProperties>
</file>