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4A8FEC0A-98E0-4219-877C-68609351A62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<sst xmlns="http://schemas.openxmlformats.org/spreadsheetml/2006/main" count="2441" uniqueCount="908">
  <si>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</si>
  <si>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</si>
  <si>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</si>
  <si>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</si>
  <si>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</si>
  <si>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</si>
  <si>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</si>
  <si>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</si>
  <si>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</si>
  <si>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</si>
  <si>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</si>
  <si>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</si>
  <si>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</si>
  <si>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</si>
  <si>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</si>
  <si>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</si>
  <si>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</si>
  <si>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</si>
  <si>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</si>
  <si>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</si>
  <si>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</si>
  <si>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</si>
  <si>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</si>
  <si>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</si>
  <si>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</si>
  <si>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</si>
  <si>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</si>
  <si>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</si>
  <si>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</si>
  <si>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</si>
  <si>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</si>
  <si>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</si>
  <si>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</si>
  <si>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</si>
  <si>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</si>
  <si>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</si>
  <si>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</si>
  <si>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</si>
  <si>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</si>
  <si>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</si>
  <si>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</si>
  <si>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</si>
  <si>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</si>
  <si>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</si>
  <si>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</si>
  <si>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</si>
  <si>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</si>
  <si>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</si>
  <si>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</si>
  <si>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</si>
  <si>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</si>
  <si>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</si>
  <si>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</si>
  <si>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</si>
  <si>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</si>
  <si>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</si>
  <si>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</si>
  <si>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</si>
  <si>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</si>
  <si>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</si>
  <si>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</si>
  <si>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</si>
  <si>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</si>
  <si>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</si>
  <si>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</si>
  <si>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</si>
  <si>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</si>
  <si>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</si>
  <si>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</si>
  <si>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</si>
  <si>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</si>
  <si>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</si>
  <si>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</si>
  <si>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</si>
  <si>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</si>
  <si>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</si>
  <si>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</si>
  <si>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</si>
  <si>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</si>
  <si>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</si>
  <si>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</si>
  <si>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</si>
  <si>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</si>
  <si>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</si>
  <si>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</si>
  <si>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</si>
  <si>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</si>
  <si>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</si>
  <si>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</si>
  <si>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</si>
  <si>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</si>
  <si>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</si>
  <si>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</si>
  <si>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</si>
  <si>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</si>
  <si>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</si>
  <si>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</si>
  <si>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</si>
  <si>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</si>
  <si>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</si>
  <si>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</si>
  <si>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</si>
  <si>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</si>
  <si>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</si>
  <si>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</si>
  <si>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</si>
  <si>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</si>
  <si>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</si>
  <si>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</si>
  <si>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</si>
  <si>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</si>
  <si>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</si>
  <si>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</si>
  <si>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</si>
  <si>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</si>
  <si>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</si>
  <si>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</si>
  <si>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</si>
  <si>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</si>
  <si>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</si>
  <si>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</si>
  <si>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</si>
  <si>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</si>
  <si>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</si>
  <si>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</si>
  <si>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</si>
  <si>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</si>
  <si>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</si>
  <si>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</si>
  <si>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</si>
  <si>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</si>
  <si>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</si>
  <si>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</si>
  <si>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</si>
  <si>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</si>
  <si>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</si>
  <si>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</si>
  <si>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</si>
  <si>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</si>
  <si>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</si>
  <si>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</si>
  <si>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</si>
  <si>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</si>
  <si>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</si>
  <si>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</si>
  <si>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</si>
  <si>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</si>
  <si>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</si>
  <si>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</si>
  <si>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</si>
  <si>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</si>
  <si>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</si>
  <si>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</si>
  <si>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</si>
  <si>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</si>
  <si>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</si>
  <si>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</si>
  <si>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</si>
  <si>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</si>
  <si>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</si>
  <si>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</si>
  <si>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</si>
  <si>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</si>
  <si>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</si>
  <si>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</si>
  <si>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</si>
  <si>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</si>
  <si>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</si>
  <si>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</si>
  <si>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</si>
  <si>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</si>
  <si>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</si>
  <si>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</si>
  <si>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</si>
  <si>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</si>
  <si>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</si>
  <si>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</si>
  <si>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</si>
  <si>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</si>
  <si>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</si>
  <si>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</si>
  <si>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</si>
  <si>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</si>
  <si>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</si>
  <si>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</si>
  <si>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</si>
  <si>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</si>
  <si>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</si>
  <si>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</si>
  <si>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</si>
  <si>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</si>
  <si>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</si>
  <si>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</si>
  <si>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</si>
  <si>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</si>
  <si>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</si>
  <si>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</si>
  <si>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</si>
  <si>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</si>
  <si>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</si>
  <si>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</si>
  <si>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</si>
  <si>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</si>
  <si>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</si>
  <si>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</si>
  <si>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</si>
  <si>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</si>
  <si>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</si>
  <si>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</si>
  <si>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</si>
  <si>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</si>
  <si>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</si>
  <si>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</si>
  <si>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</si>
  <si>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</si>
  <si>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</si>
  <si>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</si>
  <si>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</si>
  <si>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</si>
  <si>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</si>
  <si>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</si>
  <si>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</si>
  <si>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</si>
  <si>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</si>
  <si>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</si>
  <si>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</si>
  <si>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</si>
  <si>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</si>
  <si>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</si>
  <si>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</si>
  <si>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</si>
  <si>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</si>
  <si>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</si>
  <si>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</si>
  <si>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</si>
  <si>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</si>
  <si>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</si>
  <si>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</si>
  <si>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</si>
  <si>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</si>
  <si>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</si>
  <si>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</si>
  <si>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</si>
  <si>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</si>
  <si>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</si>
  <si>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</si>
  <si>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</si>
  <si>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</si>
  <si>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</si>
  <si>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</si>
  <si>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</si>
  <si>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</si>
  <si>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</si>
  <si>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</si>
  <si>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</si>
  <si>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</si>
  <si>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</si>
  <si>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</si>
  <si>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</si>
  <si>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</si>
  <si>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</si>
  <si>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</si>
  <si>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</si>
  <si>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</si>
  <si>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</si>
  <si>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</si>
  <si>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</si>
  <si>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</si>
  <si>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</si>
  <si>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</si>
  <si>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</si>
  <si>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</si>
  <si>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</si>
  <si>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</si>
  <si>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</si>
  <si>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</si>
  <si>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</si>
  <si>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</si>
  <si>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</si>
  <si>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</si>
  <si>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</si>
  <si>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</si>
  <si>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</si>
  <si>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</si>
  <si>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</si>
  <si>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</si>
  <si>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</si>
  <si>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</si>
  <si>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</si>
  <si>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</si>
  <si>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</si>
  <si>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</si>
  <si>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</si>
  <si>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</si>
  <si>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</si>
  <si>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</si>
  <si>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</si>
  <si>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</si>
  <si>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</si>
  <si>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</si>
  <si>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</si>
  <si>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</si>
  <si>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</si>
  <si>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</si>
  <si>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</si>
  <si>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</si>
  <si>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</si>
  <si>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</si>
  <si>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</si>
  <si>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</si>
  <si>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</si>
  <si>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</si>
  <si>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</si>
  <si>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</si>
  <si>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</si>
  <si>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</si>
  <si>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</si>
  <si>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</si>
  <si>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</si>
  <si>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</si>
  <si>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</si>
  <si>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</si>
  <si>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</si>
  <si>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</si>
  <si>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</si>
  <si>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</si>
  <si>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</si>
  <si>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</si>
  <si>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</si>
  <si>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</si>
  <si>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</si>
  <si>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</si>
  <si>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</si>
  <si>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</si>
  <si>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</si>
  <si>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</si>
  <si>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</si>
  <si>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</si>
  <si>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</si>
  <si>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</si>
  <si>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</si>
  <si>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</si>
  <si>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</si>
  <si>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</si>
  <si>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</si>
  <si>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</si>
  <si>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</si>
  <si>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</si>
  <si>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</si>
  <si>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</si>
  <si>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</si>
  <si>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</si>
  <si>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</si>
  <si>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</si>
  <si>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</si>
  <si>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</si>
  <si>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</si>
  <si>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</si>
  <si>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</si>
  <si>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</si>
  <si>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</si>
  <si>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</si>
  <si>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</si>
  <si>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</si>
  <si>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</si>
  <si>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</si>
  <si>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</si>
  <si>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</si>
  <si>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</si>
  <si>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</si>
  <si>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</si>
  <si>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</si>
  <si>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</si>
  <si>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</si>
  <si>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</si>
  <si>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</si>
  <si>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</si>
  <si>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</si>
  <si>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</si>
  <si>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</si>
  <si>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</si>
  <si>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</si>
  <si>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</si>
  <si>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</si>
  <si>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</si>
  <si>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</si>
  <si>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</si>
  <si>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</si>
  <si>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</si>
  <si>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</si>
  <si>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</si>
  <si>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</si>
  <si>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</si>
  <si>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</si>
  <si>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</si>
  <si>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</si>
  <si>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</si>
  <si>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</si>
  <si>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</si>
  <si>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</si>
  <si>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</si>
  <si>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</si>
  <si>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</si>
  <si>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</si>
  <si>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</si>
  <si>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</si>
  <si>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</si>
  <si>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</si>
  <si>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</si>
  <si>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</si>
  <si>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</si>
  <si>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</si>
  <si>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</si>
  <si>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</si>
  <si>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</si>
  <si>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</si>
  <si>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</si>
  <si>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</si>
  <si>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</si>
  <si>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</si>
  <si>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</si>
  <si>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</si>
  <si>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</si>
  <si>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</si>
  <si>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</si>
  <si>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</si>
  <si>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</si>
  <si>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</si>
  <si>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</si>
  <si>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</si>
  <si>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</si>
  <si>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</si>
  <si>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</si>
  <si>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</si>
  <si>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</si>
  <si>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</si>
  <si>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</si>
  <si>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</si>
  <si>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</si>
  <si>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</si>
  <si>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</si>
  <si>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</si>
  <si>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</si>
  <si>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</si>
  <si>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</si>
  <si>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</si>
  <si>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</si>
  <si>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</si>
  <si>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</si>
  <si>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</si>
  <si>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</si>
  <si>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</si>
  <si>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</si>
  <si>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</si>
  <si>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</si>
  <si>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</si>
  <si>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</si>
  <si>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</si>
  <si>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</si>
  <si>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</si>
  <si>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</si>
  <si>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</si>
  <si>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</si>
  <si>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</si>
  <si>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</si>
  <si>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</si>
  <si>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</si>
  <si>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</si>
  <si>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</si>
  <si>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</si>
  <si>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</si>
  <si>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</si>
  <si>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</si>
  <si>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</si>
  <si>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</si>
  <si>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</si>
  <si>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</si>
  <si>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</si>
  <si>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</si>
  <si>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</si>
  <si>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</si>
  <si>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</si>
  <si>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</si>
  <si>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</si>
  <si>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</si>
  <si>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</si>
  <si>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</si>
  <si>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</si>
  <si>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</si>
  <si>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</si>
  <si>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</si>
  <si>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</si>
  <si>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</si>
  <si>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</si>
  <si>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</si>
  <si>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</si>
  <si>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</si>
  <si>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</si>
  <si>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</si>
  <si>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</si>
  <si>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</si>
  <si>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</si>
  <si>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</si>
  <si>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</si>
  <si>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</si>
  <si>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</si>
  <si>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</si>
  <si>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</si>
  <si>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</si>
  <si>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</si>
  <si>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</si>
  <si>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</si>
  <si>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</si>
  <si>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</si>
  <si>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</si>
  <si>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</si>
  <si>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</si>
  <si>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</si>
  <si>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</si>
  <si>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</si>
  <si>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</si>
  <si>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</si>
  <si>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</si>
  <si>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</si>
  <si>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</si>
  <si>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</si>
  <si>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</si>
  <si>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</si>
  <si>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</si>
  <si>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</si>
  <si>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</si>
  <si>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</si>
  <si>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</si>
  <si>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</si>
  <si>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</si>
  <si>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</si>
  <si>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</si>
  <si>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</si>
  <si>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</si>
  <si>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</si>
  <si>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</si>
  <si>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</si>
  <si>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</si>
  <si>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</si>
  <si>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</si>
  <si>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</si>
  <si>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</si>
  <si>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</si>
  <si>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</si>
  <si>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</si>
  <si>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</si>
  <si>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</si>
  <si>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</si>
  <si>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</si>
  <si>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</si>
  <si>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</si>
  <si>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</si>
  <si>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</si>
  <si>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</si>
  <si>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</si>
  <si>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</si>
  <si>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</si>
  <si>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</si>
  <si>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</si>
  <si>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</si>
  <si>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</si>
  <si>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</si>
  <si>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</si>
  <si>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</si>
  <si>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</si>
  <si>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</si>
  <si>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</si>
  <si>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</si>
  <si>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</si>
  <si>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</si>
  <si>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</si>
  <si>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</si>
  <si>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</si>
  <si>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</si>
  <si>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</si>
  <si>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</si>
  <si>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</si>
  <si>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</si>
  <si>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</si>
  <si>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</si>
  <si>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</si>
  <si>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</si>
  <si>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</si>
  <si>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</si>
  <si>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</si>
  <si>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</si>
  <si>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</si>
  <si>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</si>
  <si>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</si>
  <si>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</si>
  <si>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</si>
  <si>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</si>
  <si>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</si>
  <si>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</si>
  <si>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</si>
  <si>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</si>
  <si>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</si>
  <si>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</si>
  <si>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</si>
  <si>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</si>
  <si>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</si>
  <si>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</si>
  <si>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</si>
  <si>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</si>
  <si>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</si>
  <si>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</si>
  <si>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</si>
  <si>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</si>
  <si>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</si>
  <si>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</si>
  <si>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</si>
  <si>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</si>
  <si>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</si>
  <si>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</si>
  <si>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</si>
  <si>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</si>
  <si>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</si>
  <si>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</si>
  <si>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</si>
  <si>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</si>
  <si>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</si>
  <si>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</si>
  <si>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</si>
  <si>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</si>
  <si>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</si>
  <si>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</si>
  <si>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</si>
  <si>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</si>
  <si>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</si>
  <si>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</si>
  <si>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</si>
  <si>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</si>
  <si>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</si>
  <si>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</si>
  <si>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</si>
  <si>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</si>
  <si>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</si>
  <si>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</si>
  <si>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</si>
  <si>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</si>
  <si>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</si>
  <si>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</si>
  <si>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</si>
  <si>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</si>
  <si>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</si>
  <si>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</si>
  <si>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</si>
  <si>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</si>
  <si>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</si>
  <si>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</si>
  <si>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</si>
  <si>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</si>
  <si>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</si>
  <si>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</si>
  <si>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</si>
  <si>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</si>
  <si>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</si>
  <si>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</si>
  <si>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</si>
  <si>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</si>
  <si>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</si>
  <si>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</si>
  <si>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</si>
  <si>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</si>
  <si>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</si>
  <si>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</si>
  <si>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</si>
  <si>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</si>
  <si>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</si>
  <si>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</si>
  <si>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</si>
  <si>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</si>
  <si>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</si>
  <si>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</si>
  <si>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</si>
  <si>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</si>
  <si>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</si>
  <si>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</si>
  <si>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</si>
  <si>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</si>
  <si>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</si>
  <si>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</si>
  <si>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</si>
  <si>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</si>
  <si>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</si>
  <si>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</si>
  <si>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</si>
  <si>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</si>
  <si>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</si>
  <si>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</si>
  <si>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</si>
  <si>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</si>
  <si>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</si>
  <si>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</si>
  <si>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</si>
  <si>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</si>
  <si>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</si>
  <si>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</si>
  <si>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</si>
  <si>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</si>
  <si>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</si>
  <si>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</si>
  <si>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</si>
  <si>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</si>
  <si>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</si>
  <si>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</si>
  <si>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</si>
  <si>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</si>
  <si>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</si>
  <si>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</si>
  <si>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</si>
  <si>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</si>
  <si>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</si>
  <si>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</si>
  <si>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</si>
  <si>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</si>
  <si>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</si>
  <si>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</si>
  <si>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</si>
  <si>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</si>
  <si>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</si>
  <si>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</si>
  <si>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</si>
  <si>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</si>
  <si>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</si>
  <si>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</si>
  <si>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</si>
  <si>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</si>
  <si>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</si>
  <si>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</si>
  <si>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</si>
  <si>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</si>
  <si>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</si>
  <si>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</si>
  <si>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</si>
  <si>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</si>
  <si>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</si>
  <si>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</si>
  <si>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</si>
  <si>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</si>
  <si>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</si>
  <si>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</si>
  <si>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</si>
  <si>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</si>
  <si>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</si>
  <si>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</si>
  <si>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</si>
  <si>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</si>
  <si>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</si>
  <si>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</si>
  <si>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</si>
  <si>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</si>
  <si>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</si>
  <si>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</si>
  <si>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</si>
  <si>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</si>
  <si>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</si>
  <si>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</si>
  <si>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</si>
  <si>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</si>
  <si>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</si>
  <si>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</si>
  <si>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</si>
  <si>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</si>
  <si>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</si>
  <si>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</si>
  <si>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</si>
  <si>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</si>
  <si>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</si>
  <si>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</si>
  <si>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</si>
  <si>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</si>
  <si>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</si>
  <si>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</si>
  <si>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</si>
  <si>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</si>
  <si>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</si>
  <si>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</si>
  <si>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</si>
  <si>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</si>
  <si>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</si>
  <si>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</si>
  <si>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</si>
  <si>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</si>
  <si>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</si>
  <si>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</si>
  <si>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</si>
  <si>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</si>
  <si>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</si>
  <si>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</si>
  <si>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</si>
  <si>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</si>
  <si>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</si>
  <si>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</si>
  <si>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</si>
  <si>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</si>
  <si>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</si>
  <si>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</si>
  <si>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</si>
  <si>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</si>
  <si>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</si>
  <si>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</si>
  <si>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</si>
  <si>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</si>
  <si>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</si>
  <si>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</si>
  <si>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</si>
  <si>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</si>
  <si>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</si>
  <si>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</si>
  <si>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</si>
  <si>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</si>
  <si>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</si>
  <si>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</si>
  <si>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</si>
  <si>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</si>
  <si>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</si>
  <si>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</si>
  <si>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</si>
  <si>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</si>
  <si>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</si>
  <si>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</si>
  <si>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</si>
  <si>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</si>
  <si>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</si>
  <si>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</si>
  <si>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</si>
  <si>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</si>
  <si>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</si>
  <si>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</si>
  <si>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</si>
  <si>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</si>
  <si>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</si>
  <si>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</si>
  <si>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</si>
  <si>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</si>
  <si>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</si>
  <si>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</si>
  <si>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</si>
  <si>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</si>
  <si>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</si>
  <si>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</si>
  <si>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</si>
  <si>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</si>
  <si>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</si>
  <si>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</si>
  <si>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</si>
  <si>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</si>
  <si>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</si>
  <si>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</si>
  <si>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</si>
  <si>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</si>
  <si>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</si>
  <si>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</si>
  <si>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</si>
  <si>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</si>
  <si>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</si>
  <si>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</si>
  <si>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</si>
  <si>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</si>
  <si>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</si>
  <si>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</si>
  <si>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</si>
  <si>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</si>
  <si>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</si>
  <si>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</si>
  <si>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</si>
  <si>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</si>
  <si>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</si>
  <si>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</si>
  <si>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</si>
  <si>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</si>
  <si>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</si>
  <si>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</si>
  <si>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</si>
  <si>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</si>
  <si>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</si>
  <si>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</si>
  <si>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</si>
  <si>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</si>
  <si>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</si>
  <si>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</si>
  <si>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</si>
  <si>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</si>
  <si>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</si>
  <si>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</si>
  <si>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</si>
  <si>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</si>
  <si>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</si>
  <si>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</si>
  <si>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</si>
  <si>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</si>
  <si>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</si>
  <si>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</si>
  <si>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</si>
  <si>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</si>
  <si>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</si>
  <si>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72041</t>
  </si>
  <si>
    <t>DILSEN-STOKKEM</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</si>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</sst>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1E393A63-0F05-4F65-882A-BB565CBDA08E}"/>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190106.92428354864</c:v>
                </c:pt>
                <c:pt idx="1">
                  <c:v>30723.761717188874</c:v>
                </c:pt>
                <c:pt idx="2">
                  <c:v>1055.0999999999999</c:v>
                </c:pt>
                <c:pt idx="3">
                  <c:v>4365.5805771002561</c:v>
                </c:pt>
                <c:pt idx="4">
                  <c:v>175151.25591738586</c:v>
                </c:pt>
                <c:pt idx="5">
                  <c:v>113853.34789824684</c:v>
                </c:pt>
                <c:pt idx="6">
                  <c:v>2492.3271510262189</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190106.92428354864</c:v>
                </c:pt>
                <c:pt idx="1">
                  <c:v>30723.761717188874</c:v>
                </c:pt>
                <c:pt idx="2">
                  <c:v>1055.0999999999999</c:v>
                </c:pt>
                <c:pt idx="3">
                  <c:v>4365.5805771002561</c:v>
                </c:pt>
                <c:pt idx="4">
                  <c:v>175151.25591738586</c:v>
                </c:pt>
                <c:pt idx="5">
                  <c:v>113853.34789824684</c:v>
                </c:pt>
                <c:pt idx="6">
                  <c:v>2492.3271510262189</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40506.926474143453</c:v>
                </c:pt>
                <c:pt idx="2">
                  <c:v>5699.2819029370485</c:v>
                </c:pt>
                <c:pt idx="3">
                  <c:v>197.5385340413506</c:v>
                </c:pt>
                <c:pt idx="4">
                  <c:v>1072.0892311537541</c:v>
                </c:pt>
                <c:pt idx="5">
                  <c:v>35852.663242534392</c:v>
                </c:pt>
                <c:pt idx="6">
                  <c:v>28776.077744118811</c:v>
                </c:pt>
                <c:pt idx="7">
                  <c:v>636.05940297432221</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40506.926474143453</c:v>
                </c:pt>
                <c:pt idx="2">
                  <c:v>5699.2819029370485</c:v>
                </c:pt>
                <c:pt idx="3">
                  <c:v>197.5385340413506</c:v>
                </c:pt>
                <c:pt idx="4">
                  <c:v>1072.0892311537541</c:v>
                </c:pt>
                <c:pt idx="5">
                  <c:v>35852.663242534392</c:v>
                </c:pt>
                <c:pt idx="6">
                  <c:v>28776.077744118811</c:v>
                </c:pt>
                <c:pt idx="7">
                  <c:v>636.05940297432221</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72041</v>
      </c>
      <c r="B6" s="385"/>
      <c r="C6" s="386"/>
    </row>
    <row r="7" spans="1:7" s="383" customFormat="1" ht="15.75" customHeight="1">
      <c r="A7" s="387" t="str">
        <f>txtMunicipality</f>
        <v>DILSEN-STOKKEM</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0.18722257041166773</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0.18722257041166773</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7889</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2160</v>
      </c>
      <c r="C14" s="327"/>
      <c r="D14" s="327"/>
      <c r="E14" s="327"/>
      <c r="F14" s="327"/>
    </row>
    <row r="15" spans="1:6">
      <c r="A15" s="1258" t="s">
        <v>177</v>
      </c>
      <c r="B15" s="1259">
        <v>365</v>
      </c>
      <c r="C15" s="327"/>
      <c r="D15" s="327"/>
      <c r="E15" s="327"/>
      <c r="F15" s="327"/>
    </row>
    <row r="16" spans="1:6">
      <c r="A16" s="1258" t="s">
        <v>6</v>
      </c>
      <c r="B16" s="1259">
        <v>778</v>
      </c>
      <c r="C16" s="327"/>
      <c r="D16" s="327"/>
      <c r="E16" s="327"/>
      <c r="F16" s="327"/>
    </row>
    <row r="17" spans="1:6">
      <c r="A17" s="1258" t="s">
        <v>7</v>
      </c>
      <c r="B17" s="1259">
        <v>561</v>
      </c>
      <c r="C17" s="327"/>
      <c r="D17" s="327"/>
      <c r="E17" s="327"/>
      <c r="F17" s="327"/>
    </row>
    <row r="18" spans="1:6">
      <c r="A18" s="1258" t="s">
        <v>8</v>
      </c>
      <c r="B18" s="1259">
        <v>849</v>
      </c>
      <c r="C18" s="327"/>
      <c r="D18" s="327"/>
      <c r="E18" s="327"/>
      <c r="F18" s="327"/>
    </row>
    <row r="19" spans="1:6">
      <c r="A19" s="1258" t="s">
        <v>9</v>
      </c>
      <c r="B19" s="1259">
        <v>721</v>
      </c>
      <c r="C19" s="327"/>
      <c r="D19" s="327"/>
      <c r="E19" s="327"/>
      <c r="F19" s="327"/>
    </row>
    <row r="20" spans="1:6">
      <c r="A20" s="1258" t="s">
        <v>10</v>
      </c>
      <c r="B20" s="1259">
        <v>516</v>
      </c>
      <c r="C20" s="327"/>
      <c r="D20" s="327"/>
      <c r="E20" s="327"/>
      <c r="F20" s="327"/>
    </row>
    <row r="21" spans="1:6">
      <c r="A21" s="1258" t="s">
        <v>11</v>
      </c>
      <c r="B21" s="1259">
        <v>991</v>
      </c>
      <c r="C21" s="327"/>
      <c r="D21" s="327"/>
      <c r="E21" s="327"/>
      <c r="F21" s="327"/>
    </row>
    <row r="22" spans="1:6">
      <c r="A22" s="1258" t="s">
        <v>12</v>
      </c>
      <c r="B22" s="1259">
        <v>3132</v>
      </c>
      <c r="C22" s="327"/>
      <c r="D22" s="327"/>
      <c r="E22" s="327"/>
      <c r="F22" s="327"/>
    </row>
    <row r="23" spans="1:6">
      <c r="A23" s="1258" t="s">
        <v>13</v>
      </c>
      <c r="B23" s="1259">
        <v>118</v>
      </c>
      <c r="C23" s="327"/>
      <c r="D23" s="327"/>
      <c r="E23" s="327"/>
      <c r="F23" s="327"/>
    </row>
    <row r="24" spans="1:6">
      <c r="A24" s="1258" t="s">
        <v>14</v>
      </c>
      <c r="B24" s="1259">
        <v>3</v>
      </c>
      <c r="C24" s="327"/>
      <c r="D24" s="327"/>
      <c r="E24" s="327"/>
      <c r="F24" s="327"/>
    </row>
    <row r="25" spans="1:6">
      <c r="A25" s="1258" t="s">
        <v>15</v>
      </c>
      <c r="B25" s="1259">
        <v>230</v>
      </c>
      <c r="C25" s="327"/>
      <c r="D25" s="327"/>
      <c r="E25" s="327"/>
      <c r="F25" s="327"/>
    </row>
    <row r="26" spans="1:6">
      <c r="A26" s="1258" t="s">
        <v>16</v>
      </c>
      <c r="B26" s="1259">
        <v>526</v>
      </c>
      <c r="C26" s="327"/>
      <c r="D26" s="327"/>
      <c r="E26" s="327"/>
      <c r="F26" s="327"/>
    </row>
    <row r="27" spans="1:6">
      <c r="A27" s="1258" t="s">
        <v>17</v>
      </c>
      <c r="B27" s="1259">
        <v>626</v>
      </c>
      <c r="C27" s="327"/>
      <c r="D27" s="327"/>
      <c r="E27" s="327"/>
      <c r="F27" s="327"/>
    </row>
    <row r="28" spans="1:6">
      <c r="A28" s="1258" t="s">
        <v>18</v>
      </c>
      <c r="B28" s="1260">
        <v>105910</v>
      </c>
      <c r="C28" s="327"/>
      <c r="D28" s="327"/>
      <c r="E28" s="327"/>
      <c r="F28" s="327"/>
    </row>
    <row r="29" spans="1:6">
      <c r="A29" s="1258" t="s">
        <v>905</v>
      </c>
      <c r="B29" s="1260">
        <v>177</v>
      </c>
      <c r="C29" s="327"/>
      <c r="D29" s="327"/>
      <c r="E29" s="327"/>
      <c r="F29" s="327"/>
    </row>
    <row r="30" spans="1:6">
      <c r="A30" s="1253" t="s">
        <v>906</v>
      </c>
      <c r="B30" s="1261">
        <v>40</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3</v>
      </c>
      <c r="F35" s="1259">
        <v>18839</v>
      </c>
    </row>
    <row r="36" spans="1:6">
      <c r="A36" s="1258" t="s">
        <v>24</v>
      </c>
      <c r="B36" s="1258" t="s">
        <v>26</v>
      </c>
      <c r="C36" s="1259">
        <v>0</v>
      </c>
      <c r="D36" s="1259">
        <v>0</v>
      </c>
      <c r="E36" s="1259">
        <v>14</v>
      </c>
      <c r="F36" s="1259">
        <v>128992</v>
      </c>
    </row>
    <row r="37" spans="1:6">
      <c r="A37" s="1258" t="s">
        <v>24</v>
      </c>
      <c r="B37" s="1258" t="s">
        <v>27</v>
      </c>
      <c r="C37" s="1259">
        <v>0</v>
      </c>
      <c r="D37" s="1259">
        <v>0</v>
      </c>
      <c r="E37" s="1259">
        <v>0</v>
      </c>
      <c r="F37" s="1259">
        <v>0</v>
      </c>
    </row>
    <row r="38" spans="1:6">
      <c r="A38" s="1258" t="s">
        <v>24</v>
      </c>
      <c r="B38" s="1258" t="s">
        <v>28</v>
      </c>
      <c r="C38" s="1259">
        <v>1</v>
      </c>
      <c r="D38" s="1259">
        <v>704120</v>
      </c>
      <c r="E38" s="1259">
        <v>1</v>
      </c>
      <c r="F38" s="1259">
        <v>94529</v>
      </c>
    </row>
    <row r="39" spans="1:6">
      <c r="A39" s="1258" t="s">
        <v>29</v>
      </c>
      <c r="B39" s="1258" t="s">
        <v>30</v>
      </c>
      <c r="C39" s="1259">
        <v>3539</v>
      </c>
      <c r="D39" s="1259">
        <v>63391747</v>
      </c>
      <c r="E39" s="1259">
        <v>7907</v>
      </c>
      <c r="F39" s="1259">
        <v>30212423</v>
      </c>
    </row>
    <row r="40" spans="1:6">
      <c r="A40" s="1258" t="s">
        <v>29</v>
      </c>
      <c r="B40" s="1258" t="s">
        <v>28</v>
      </c>
      <c r="C40" s="1259">
        <v>0</v>
      </c>
      <c r="D40" s="1259">
        <v>0</v>
      </c>
      <c r="E40" s="1259">
        <v>0</v>
      </c>
      <c r="F40" s="1259">
        <v>0</v>
      </c>
    </row>
    <row r="41" spans="1:6">
      <c r="A41" s="1258" t="s">
        <v>31</v>
      </c>
      <c r="B41" s="1258" t="s">
        <v>32</v>
      </c>
      <c r="C41" s="1259">
        <v>34</v>
      </c>
      <c r="D41" s="1259">
        <v>30625905</v>
      </c>
      <c r="E41" s="1259">
        <v>129</v>
      </c>
      <c r="F41" s="1259">
        <v>16627096</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9</v>
      </c>
      <c r="D44" s="1259">
        <v>43593498</v>
      </c>
      <c r="E44" s="1259">
        <v>37</v>
      </c>
      <c r="F44" s="1259">
        <v>22241773</v>
      </c>
    </row>
    <row r="45" spans="1:6">
      <c r="A45" s="1258" t="s">
        <v>31</v>
      </c>
      <c r="B45" s="1258" t="s">
        <v>36</v>
      </c>
      <c r="C45" s="1259">
        <v>3</v>
      </c>
      <c r="D45" s="1259">
        <v>526181</v>
      </c>
      <c r="E45" s="1259">
        <v>16</v>
      </c>
      <c r="F45" s="1259">
        <v>7107266</v>
      </c>
    </row>
    <row r="46" spans="1:6">
      <c r="A46" s="1258" t="s">
        <v>31</v>
      </c>
      <c r="B46" s="1258" t="s">
        <v>37</v>
      </c>
      <c r="C46" s="1259">
        <v>0</v>
      </c>
      <c r="D46" s="1259">
        <v>0</v>
      </c>
      <c r="E46" s="1259">
        <v>0</v>
      </c>
      <c r="F46" s="1259">
        <v>0</v>
      </c>
    </row>
    <row r="47" spans="1:6">
      <c r="A47" s="1258" t="s">
        <v>31</v>
      </c>
      <c r="B47" s="1258" t="s">
        <v>38</v>
      </c>
      <c r="C47" s="1259">
        <v>0</v>
      </c>
      <c r="D47" s="1259">
        <v>0</v>
      </c>
      <c r="E47" s="1259">
        <v>3</v>
      </c>
      <c r="F47" s="1259">
        <v>168014</v>
      </c>
    </row>
    <row r="48" spans="1:6">
      <c r="A48" s="1258" t="s">
        <v>31</v>
      </c>
      <c r="B48" s="1258" t="s">
        <v>28</v>
      </c>
      <c r="C48" s="1259">
        <v>1</v>
      </c>
      <c r="D48" s="1259">
        <v>26623</v>
      </c>
      <c r="E48" s="1259">
        <v>2</v>
      </c>
      <c r="F48" s="1259">
        <v>1085922</v>
      </c>
    </row>
    <row r="49" spans="1:6">
      <c r="A49" s="1258" t="s">
        <v>31</v>
      </c>
      <c r="B49" s="1258" t="s">
        <v>39</v>
      </c>
      <c r="C49" s="1259">
        <v>0</v>
      </c>
      <c r="D49" s="1259">
        <v>0</v>
      </c>
      <c r="E49" s="1259">
        <v>0</v>
      </c>
      <c r="F49" s="1259">
        <v>0</v>
      </c>
    </row>
    <row r="50" spans="1:6">
      <c r="A50" s="1258" t="s">
        <v>31</v>
      </c>
      <c r="B50" s="1258" t="s">
        <v>40</v>
      </c>
      <c r="C50" s="1259">
        <v>4</v>
      </c>
      <c r="D50" s="1259">
        <v>14942734</v>
      </c>
      <c r="E50" s="1259">
        <v>15</v>
      </c>
      <c r="F50" s="1259">
        <v>6935479</v>
      </c>
    </row>
    <row r="51" spans="1:6">
      <c r="A51" s="1258" t="s">
        <v>41</v>
      </c>
      <c r="B51" s="1258" t="s">
        <v>42</v>
      </c>
      <c r="C51" s="1259">
        <v>6</v>
      </c>
      <c r="D51" s="1259">
        <v>611025</v>
      </c>
      <c r="E51" s="1259">
        <v>48</v>
      </c>
      <c r="F51" s="1259">
        <v>816886</v>
      </c>
    </row>
    <row r="52" spans="1:6">
      <c r="A52" s="1258" t="s">
        <v>41</v>
      </c>
      <c r="B52" s="1258" t="s">
        <v>28</v>
      </c>
      <c r="C52" s="1259">
        <v>0</v>
      </c>
      <c r="D52" s="1259">
        <v>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75</v>
      </c>
      <c r="F54" s="1259">
        <v>1055100</v>
      </c>
    </row>
    <row r="55" spans="1:6">
      <c r="A55" s="1258" t="s">
        <v>45</v>
      </c>
      <c r="B55" s="1258" t="s">
        <v>28</v>
      </c>
      <c r="C55" s="1259">
        <v>0</v>
      </c>
      <c r="D55" s="1259">
        <v>0</v>
      </c>
      <c r="E55" s="1259">
        <v>0</v>
      </c>
      <c r="F55" s="1259">
        <v>0</v>
      </c>
    </row>
    <row r="56" spans="1:6">
      <c r="A56" s="1258" t="s">
        <v>47</v>
      </c>
      <c r="B56" s="1258" t="s">
        <v>28</v>
      </c>
      <c r="C56" s="1259">
        <v>105</v>
      </c>
      <c r="D56" s="1259">
        <v>10918644</v>
      </c>
      <c r="E56" s="1259">
        <v>144</v>
      </c>
      <c r="F56" s="1259">
        <v>916769</v>
      </c>
    </row>
    <row r="57" spans="1:6">
      <c r="A57" s="1258" t="s">
        <v>48</v>
      </c>
      <c r="B57" s="1258" t="s">
        <v>49</v>
      </c>
      <c r="C57" s="1259">
        <v>25</v>
      </c>
      <c r="D57" s="1259">
        <v>2285438</v>
      </c>
      <c r="E57" s="1259">
        <v>68</v>
      </c>
      <c r="F57" s="1259">
        <v>3219552</v>
      </c>
    </row>
    <row r="58" spans="1:6">
      <c r="A58" s="1258" t="s">
        <v>48</v>
      </c>
      <c r="B58" s="1258" t="s">
        <v>50</v>
      </c>
      <c r="C58" s="1259">
        <v>10</v>
      </c>
      <c r="D58" s="1259">
        <v>379057</v>
      </c>
      <c r="E58" s="1259">
        <v>30</v>
      </c>
      <c r="F58" s="1259">
        <v>500410</v>
      </c>
    </row>
    <row r="59" spans="1:6">
      <c r="A59" s="1258" t="s">
        <v>48</v>
      </c>
      <c r="B59" s="1258" t="s">
        <v>51</v>
      </c>
      <c r="C59" s="1259">
        <v>75</v>
      </c>
      <c r="D59" s="1259">
        <v>3542838</v>
      </c>
      <c r="E59" s="1259">
        <v>186</v>
      </c>
      <c r="F59" s="1259">
        <v>5645564</v>
      </c>
    </row>
    <row r="60" spans="1:6">
      <c r="A60" s="1258" t="s">
        <v>48</v>
      </c>
      <c r="B60" s="1258" t="s">
        <v>52</v>
      </c>
      <c r="C60" s="1259">
        <v>32</v>
      </c>
      <c r="D60" s="1259">
        <v>3002147</v>
      </c>
      <c r="E60" s="1259">
        <v>70</v>
      </c>
      <c r="F60" s="1259">
        <v>2039989</v>
      </c>
    </row>
    <row r="61" spans="1:6">
      <c r="A61" s="1258" t="s">
        <v>48</v>
      </c>
      <c r="B61" s="1258" t="s">
        <v>53</v>
      </c>
      <c r="C61" s="1259">
        <v>65</v>
      </c>
      <c r="D61" s="1259">
        <v>2447416</v>
      </c>
      <c r="E61" s="1259">
        <v>314</v>
      </c>
      <c r="F61" s="1259">
        <v>4176772</v>
      </c>
    </row>
    <row r="62" spans="1:6">
      <c r="A62" s="1258" t="s">
        <v>48</v>
      </c>
      <c r="B62" s="1258" t="s">
        <v>54</v>
      </c>
      <c r="C62" s="1259">
        <v>0</v>
      </c>
      <c r="D62" s="1259">
        <v>0</v>
      </c>
      <c r="E62" s="1259">
        <v>10</v>
      </c>
      <c r="F62" s="1259">
        <v>282268</v>
      </c>
    </row>
    <row r="63" spans="1:6">
      <c r="A63" s="1258" t="s">
        <v>48</v>
      </c>
      <c r="B63" s="1258" t="s">
        <v>28</v>
      </c>
      <c r="C63" s="1259">
        <v>1</v>
      </c>
      <c r="D63" s="1259">
        <v>10505</v>
      </c>
      <c r="E63" s="1259">
        <v>0</v>
      </c>
      <c r="F63" s="1259">
        <v>0</v>
      </c>
    </row>
    <row r="64" spans="1:6">
      <c r="A64" s="1258" t="s">
        <v>55</v>
      </c>
      <c r="B64" s="1258" t="s">
        <v>56</v>
      </c>
      <c r="C64" s="1259">
        <v>0</v>
      </c>
      <c r="D64" s="1259">
        <v>0</v>
      </c>
      <c r="E64" s="1259">
        <v>0</v>
      </c>
      <c r="F64" s="1259">
        <v>0</v>
      </c>
    </row>
    <row r="65" spans="1:6">
      <c r="A65" s="1258" t="s">
        <v>55</v>
      </c>
      <c r="B65" s="1258" t="s">
        <v>28</v>
      </c>
      <c r="C65" s="1259">
        <v>0</v>
      </c>
      <c r="D65" s="1259">
        <v>0</v>
      </c>
      <c r="E65" s="1259">
        <v>1</v>
      </c>
      <c r="F65" s="1259">
        <v>276740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5</v>
      </c>
      <c r="F68" s="1261">
        <v>57022</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111567663</v>
      </c>
      <c r="E73" s="446"/>
      <c r="F73" s="327"/>
    </row>
    <row r="74" spans="1:6">
      <c r="A74" s="1258" t="s">
        <v>63</v>
      </c>
      <c r="B74" s="1258" t="s">
        <v>681</v>
      </c>
      <c r="C74" s="1271" t="s">
        <v>682</v>
      </c>
      <c r="D74" s="1259">
        <v>10392105.370841032</v>
      </c>
      <c r="E74" s="446"/>
      <c r="F74" s="327"/>
    </row>
    <row r="75" spans="1:6">
      <c r="A75" s="1258" t="s">
        <v>64</v>
      </c>
      <c r="B75" s="1258" t="s">
        <v>679</v>
      </c>
      <c r="C75" s="1271" t="s">
        <v>683</v>
      </c>
      <c r="D75" s="1259">
        <v>17169824</v>
      </c>
      <c r="E75" s="446"/>
      <c r="F75" s="327"/>
    </row>
    <row r="76" spans="1:6">
      <c r="A76" s="1258" t="s">
        <v>64</v>
      </c>
      <c r="B76" s="1258" t="s">
        <v>681</v>
      </c>
      <c r="C76" s="1271" t="s">
        <v>684</v>
      </c>
      <c r="D76" s="1259">
        <v>473313.37084103131</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659645.25831793738</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5630.7608080894006</v>
      </c>
      <c r="C91" s="327"/>
      <c r="D91" s="327"/>
      <c r="E91" s="327"/>
      <c r="F91" s="327"/>
    </row>
    <row r="92" spans="1:6">
      <c r="A92" s="1253" t="s">
        <v>68</v>
      </c>
      <c r="B92" s="1254">
        <v>10980.374739309449</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1144</v>
      </c>
      <c r="C97" s="327"/>
      <c r="D97" s="327"/>
      <c r="E97" s="327"/>
      <c r="F97" s="327"/>
    </row>
    <row r="98" spans="1:6">
      <c r="A98" s="1258" t="s">
        <v>71</v>
      </c>
      <c r="B98" s="1259">
        <v>4</v>
      </c>
      <c r="C98" s="327"/>
      <c r="D98" s="327"/>
      <c r="E98" s="327"/>
      <c r="F98" s="327"/>
    </row>
    <row r="99" spans="1:6">
      <c r="A99" s="1258" t="s">
        <v>72</v>
      </c>
      <c r="B99" s="1259">
        <v>64</v>
      </c>
      <c r="C99" s="327"/>
      <c r="D99" s="327"/>
      <c r="E99" s="327"/>
      <c r="F99" s="327"/>
    </row>
    <row r="100" spans="1:6">
      <c r="A100" s="1258" t="s">
        <v>73</v>
      </c>
      <c r="B100" s="1259">
        <v>163</v>
      </c>
      <c r="C100" s="327"/>
      <c r="D100" s="327"/>
      <c r="E100" s="327"/>
      <c r="F100" s="327"/>
    </row>
    <row r="101" spans="1:6">
      <c r="A101" s="1258" t="s">
        <v>74</v>
      </c>
      <c r="B101" s="1259">
        <v>49</v>
      </c>
      <c r="C101" s="327"/>
      <c r="D101" s="327"/>
      <c r="E101" s="327"/>
      <c r="F101" s="327"/>
    </row>
    <row r="102" spans="1:6">
      <c r="A102" s="1258" t="s">
        <v>75</v>
      </c>
      <c r="B102" s="1259">
        <v>96</v>
      </c>
      <c r="C102" s="327"/>
      <c r="D102" s="327"/>
      <c r="E102" s="327"/>
      <c r="F102" s="327"/>
    </row>
    <row r="103" spans="1:6">
      <c r="A103" s="1258" t="s">
        <v>76</v>
      </c>
      <c r="B103" s="1259">
        <v>174</v>
      </c>
      <c r="C103" s="327"/>
      <c r="D103" s="327"/>
      <c r="E103" s="327"/>
      <c r="F103" s="327"/>
    </row>
    <row r="104" spans="1:6">
      <c r="A104" s="1258" t="s">
        <v>77</v>
      </c>
      <c r="B104" s="1259">
        <v>5008</v>
      </c>
      <c r="C104" s="327"/>
      <c r="D104" s="327"/>
      <c r="E104" s="327"/>
      <c r="F104" s="327"/>
    </row>
    <row r="105" spans="1:6">
      <c r="A105" s="1253" t="s">
        <v>78</v>
      </c>
      <c r="B105" s="1261">
        <v>1</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11</v>
      </c>
      <c r="C123" s="1259">
        <v>13</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165</v>
      </c>
      <c r="C129" s="327"/>
      <c r="D129" s="327"/>
      <c r="E129" s="327"/>
      <c r="F129" s="327"/>
    </row>
    <row r="130" spans="1:6">
      <c r="A130" s="1258" t="s">
        <v>284</v>
      </c>
      <c r="B130" s="1259">
        <v>2</v>
      </c>
      <c r="C130" s="327"/>
      <c r="D130" s="327"/>
      <c r="E130" s="327"/>
      <c r="F130" s="327"/>
    </row>
    <row r="131" spans="1:6">
      <c r="A131" s="1258" t="s">
        <v>285</v>
      </c>
      <c r="B131" s="1259">
        <v>5</v>
      </c>
      <c r="C131" s="327"/>
      <c r="D131" s="327"/>
      <c r="E131" s="327"/>
      <c r="F131" s="327"/>
    </row>
    <row r="132" spans="1:6">
      <c r="A132" s="1253" t="s">
        <v>286</v>
      </c>
      <c r="B132" s="1254">
        <v>19</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108683.84600950334</v>
      </c>
      <c r="C3" s="43" t="s">
        <v>163</v>
      </c>
      <c r="D3" s="43"/>
      <c r="E3" s="156"/>
      <c r="F3" s="43"/>
      <c r="G3" s="43"/>
      <c r="H3" s="43"/>
      <c r="I3" s="43"/>
      <c r="J3" s="43"/>
      <c r="K3" s="96"/>
    </row>
    <row r="4" spans="1:11">
      <c r="A4" s="353" t="s">
        <v>164</v>
      </c>
      <c r="B4" s="49">
        <f>IF(ISERROR('SEAP template'!B78+'SEAP template'!C78),0,'SEAP template'!B78+'SEAP template'!C78)</f>
        <v>16611.135547398851</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0.18722257041166773</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1055.0999999999999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1055.0999999999999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0.18722257041166773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197.5385340413506</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30212.422999999999</v>
      </c>
      <c r="C5" s="17">
        <f>IF(ISERROR('Eigen informatie GS &amp; warmtenet'!B57),0,'Eigen informatie GS &amp; warmtenet'!B57)</f>
        <v>0</v>
      </c>
      <c r="D5" s="30">
        <f>(SUM(HH_hh_gas_kWh,HH_rest_gas_kWh)/1000)*0.902</f>
        <v>57179.355794000003</v>
      </c>
      <c r="E5" s="17">
        <f>B32*B41</f>
        <v>2582.3082366736262</v>
      </c>
      <c r="F5" s="17">
        <f>B36*B45</f>
        <v>79136.056716105915</v>
      </c>
      <c r="G5" s="18"/>
      <c r="H5" s="17"/>
      <c r="I5" s="17"/>
      <c r="J5" s="17">
        <f>B35*B44+C35*C44</f>
        <v>1498.6793405138176</v>
      </c>
      <c r="K5" s="17"/>
      <c r="L5" s="17"/>
      <c r="M5" s="17"/>
      <c r="N5" s="17">
        <f>B34*B43+C34*C43</f>
        <v>13017.067054832531</v>
      </c>
      <c r="O5" s="17">
        <f>B52*B53*B54</f>
        <v>278.27333333333337</v>
      </c>
      <c r="P5" s="17">
        <f>B60*B61*B62/1000-B60*B61*B62/1000/B63</f>
        <v>572</v>
      </c>
    </row>
    <row r="6" spans="1:16">
      <c r="A6" s="16" t="s">
        <v>592</v>
      </c>
      <c r="B6" s="733">
        <f>kWh_PV_kleiner_dan_10kW</f>
        <v>5630.7608080894006</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35843.183808089401</v>
      </c>
      <c r="C8" s="21">
        <f>C5</f>
        <v>0</v>
      </c>
      <c r="D8" s="21">
        <f>D5</f>
        <v>57179.355794000003</v>
      </c>
      <c r="E8" s="21">
        <f>E5</f>
        <v>2582.3082366736262</v>
      </c>
      <c r="F8" s="21">
        <f>F5</f>
        <v>79136.056716105915</v>
      </c>
      <c r="G8" s="21"/>
      <c r="H8" s="21"/>
      <c r="I8" s="21"/>
      <c r="J8" s="21">
        <f>J5</f>
        <v>1498.6793405138176</v>
      </c>
      <c r="K8" s="21"/>
      <c r="L8" s="21">
        <f>L5</f>
        <v>0</v>
      </c>
      <c r="M8" s="21">
        <f>M5</f>
        <v>0</v>
      </c>
      <c r="N8" s="21">
        <f>N5</f>
        <v>13017.067054832531</v>
      </c>
      <c r="O8" s="21">
        <f>O5</f>
        <v>278.27333333333337</v>
      </c>
      <c r="P8" s="21">
        <f>P5</f>
        <v>572</v>
      </c>
    </row>
    <row r="9" spans="1:16">
      <c r="B9" s="19"/>
      <c r="C9" s="19"/>
      <c r="D9" s="257"/>
      <c r="E9" s="19"/>
      <c r="F9" s="19"/>
      <c r="G9" s="19"/>
      <c r="H9" s="19"/>
      <c r="I9" s="19"/>
      <c r="J9" s="19"/>
      <c r="K9" s="19"/>
      <c r="L9" s="19"/>
      <c r="M9" s="19"/>
      <c r="N9" s="19"/>
      <c r="O9" s="19"/>
      <c r="P9" s="19"/>
    </row>
    <row r="10" spans="1:16">
      <c r="A10" s="24" t="s">
        <v>207</v>
      </c>
      <c r="B10" s="25">
        <f ca="1">'EF ele_warmte'!B12</f>
        <v>0.18722257041166773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6710.6530042883669</v>
      </c>
      <c r="C12" s="23">
        <f ca="1">C10*C8</f>
        <v>0</v>
      </c>
      <c r="D12" s="23">
        <f>D8*D10</f>
        <v>11550.229870388001</v>
      </c>
      <c r="E12" s="23">
        <f>E10*E8</f>
        <v>586.18396972491314</v>
      </c>
      <c r="F12" s="23">
        <f>F10*F8</f>
        <v>21129.32714320028</v>
      </c>
      <c r="G12" s="23"/>
      <c r="H12" s="23"/>
      <c r="I12" s="23"/>
      <c r="J12" s="23">
        <f>J10*J8</f>
        <v>530.53248654189144</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7889</v>
      </c>
      <c r="C26" s="36"/>
      <c r="D26" s="227"/>
    </row>
    <row r="27" spans="1:5" s="15" customFormat="1">
      <c r="A27" s="229" t="s">
        <v>697</v>
      </c>
      <c r="B27" s="37">
        <f>SUM(HH_hh_gas_aantal,HH_rest_gas_aantal)</f>
        <v>3539</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3362.05</v>
      </c>
      <c r="C31" s="34" t="s">
        <v>104</v>
      </c>
      <c r="D31" s="173"/>
    </row>
    <row r="32" spans="1:5">
      <c r="A32" s="170" t="s">
        <v>72</v>
      </c>
      <c r="B32" s="33">
        <f>IF((B21*($B$26-($B$27-0.05*$B$27)-$B$60))&lt;0,0,B21*($B$26-($B$27-0.05*$B$27)-$B$60))</f>
        <v>112.61065249045888</v>
      </c>
      <c r="C32" s="34" t="s">
        <v>104</v>
      </c>
      <c r="D32" s="173"/>
    </row>
    <row r="33" spans="1:6">
      <c r="A33" s="170" t="s">
        <v>73</v>
      </c>
      <c r="B33" s="33">
        <f>IF((B22*($B$26-($B$27-0.05*$B$27)-$B$60))&lt;0,0,B22*($B$26-($B$27-0.05*$B$27)-$B$60))</f>
        <v>758.00176548284514</v>
      </c>
      <c r="C33" s="34" t="s">
        <v>104</v>
      </c>
      <c r="D33" s="173"/>
    </row>
    <row r="34" spans="1:6">
      <c r="A34" s="170" t="s">
        <v>74</v>
      </c>
      <c r="B34" s="33">
        <f>IF((B24*($B$26-($B$27-0.05*$B$27)-$B$60))&lt;0,0,B24*($B$26-($B$27-0.05*$B$27)-$B$60))</f>
        <v>192.31532225144451</v>
      </c>
      <c r="C34" s="33">
        <f>B26*C24</f>
        <v>1613.7743735234365</v>
      </c>
      <c r="D34" s="232"/>
    </row>
    <row r="35" spans="1:6">
      <c r="A35" s="170" t="s">
        <v>76</v>
      </c>
      <c r="B35" s="33">
        <f>IF((B19*($B$26-($B$27-0.05*$B$27)-$B$60))&lt;0,0,B19*($B$26-($B$27-0.05*$B$27)-$B$60))</f>
        <v>71.470690865600915</v>
      </c>
      <c r="C35" s="33">
        <f>B35/2</f>
        <v>35.735345432800457</v>
      </c>
      <c r="D35" s="232"/>
    </row>
    <row r="36" spans="1:6">
      <c r="A36" s="170" t="s">
        <v>77</v>
      </c>
      <c r="B36" s="33">
        <f>IF((B18*($B$26-($B$27-0.05*$B$27)-$B$60))&lt;0,0,B18*($B$26-($B$27-0.05*$B$27)-$B$60))</f>
        <v>3362.5515689096505</v>
      </c>
      <c r="C36" s="34" t="s">
        <v>104</v>
      </c>
      <c r="D36" s="173"/>
    </row>
    <row r="37" spans="1:6">
      <c r="A37" s="170" t="s">
        <v>78</v>
      </c>
      <c r="B37" s="33">
        <f>B60</f>
        <v>30</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178</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30</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15864.555</v>
      </c>
      <c r="C5" s="17">
        <f>IF(ISERROR('Eigen informatie GS &amp; warmtenet'!B58),0,'Eigen informatie GS &amp; warmtenet'!B58)</f>
        <v>0</v>
      </c>
      <c r="D5" s="30">
        <f>SUM(D6:D12)</f>
        <v>10523.995702000002</v>
      </c>
      <c r="E5" s="17">
        <f>SUM(E6:E12)</f>
        <v>89.076011975759585</v>
      </c>
      <c r="F5" s="17">
        <f>SUM(F6:F12)</f>
        <v>2156.0435151789202</v>
      </c>
      <c r="G5" s="18"/>
      <c r="H5" s="17"/>
      <c r="I5" s="17"/>
      <c r="J5" s="17">
        <f>SUM(J6:J12)</f>
        <v>20.757435944927845</v>
      </c>
      <c r="K5" s="17"/>
      <c r="L5" s="17"/>
      <c r="M5" s="17"/>
      <c r="N5" s="17">
        <f>SUM(N6:N12)</f>
        <v>1970.8740520892695</v>
      </c>
      <c r="O5" s="17">
        <f>B38*B39*B40</f>
        <v>3.1266666666666669</v>
      </c>
      <c r="P5" s="17">
        <f>B46*B47*B48/1000-B46*B47*B48/1000/B49</f>
        <v>95.333333333333343</v>
      </c>
      <c r="R5" s="32"/>
    </row>
    <row r="6" spans="1:18">
      <c r="A6" s="32" t="s">
        <v>53</v>
      </c>
      <c r="B6" s="37">
        <f>B26</f>
        <v>4176.7719999999999</v>
      </c>
      <c r="C6" s="33"/>
      <c r="D6" s="37">
        <f>IF(ISERROR(TER_kantoor_gas_kWh/1000),0,TER_kantoor_gas_kWh/1000)*0.902</f>
        <v>2207.5692320000003</v>
      </c>
      <c r="E6" s="33">
        <f>$C$26*'E Balans VL '!I12/100/3.6*1000000</f>
        <v>35.255598622393833</v>
      </c>
      <c r="F6" s="33">
        <f>$C$26*('E Balans VL '!L12+'E Balans VL '!N12)/100/3.6*1000000</f>
        <v>560.0588796225336</v>
      </c>
      <c r="G6" s="34"/>
      <c r="H6" s="33"/>
      <c r="I6" s="33"/>
      <c r="J6" s="33">
        <f>$C$26*('E Balans VL '!D12+'E Balans VL '!E12)/100/3.6*1000000</f>
        <v>0</v>
      </c>
      <c r="K6" s="33"/>
      <c r="L6" s="33"/>
      <c r="M6" s="33"/>
      <c r="N6" s="33">
        <f>$C$26*'E Balans VL '!Y12/100/3.6*1000000</f>
        <v>36.733417946523105</v>
      </c>
      <c r="O6" s="33"/>
      <c r="P6" s="33"/>
      <c r="R6" s="32"/>
    </row>
    <row r="7" spans="1:18">
      <c r="A7" s="32" t="s">
        <v>52</v>
      </c>
      <c r="B7" s="37">
        <f t="shared" ref="B7:B12" si="0">B27</f>
        <v>2039.989</v>
      </c>
      <c r="C7" s="33"/>
      <c r="D7" s="37">
        <f>IF(ISERROR(TER_horeca_gas_kWh/1000),0,TER_horeca_gas_kWh/1000)*0.902</f>
        <v>2707.9365939999998</v>
      </c>
      <c r="E7" s="33">
        <f>$C$27*'E Balans VL '!I9/100/3.6*1000000</f>
        <v>26.821782662813334</v>
      </c>
      <c r="F7" s="33">
        <f>$C$27*('E Balans VL '!L9+'E Balans VL '!N9)/100/3.6*1000000</f>
        <v>512.31742684318976</v>
      </c>
      <c r="G7" s="34"/>
      <c r="H7" s="33"/>
      <c r="I7" s="33"/>
      <c r="J7" s="33">
        <f>$C$27*('E Balans VL '!D9+'E Balans VL '!E9)/100/3.6*1000000</f>
        <v>0</v>
      </c>
      <c r="K7" s="33"/>
      <c r="L7" s="33"/>
      <c r="M7" s="33"/>
      <c r="N7" s="33">
        <f>$C$27*'E Balans VL '!Y9/100/3.6*1000000</f>
        <v>0.55536196463678078</v>
      </c>
      <c r="O7" s="33"/>
      <c r="P7" s="33"/>
      <c r="R7" s="32"/>
    </row>
    <row r="8" spans="1:18">
      <c r="A8" s="6" t="s">
        <v>51</v>
      </c>
      <c r="B8" s="37">
        <f t="shared" si="0"/>
        <v>5645.5640000000003</v>
      </c>
      <c r="C8" s="33"/>
      <c r="D8" s="37">
        <f>IF(ISERROR(TER_handel_gas_kWh/1000),0,TER_handel_gas_kWh/1000)*0.902</f>
        <v>3195.6398760000002</v>
      </c>
      <c r="E8" s="33">
        <f>$C$28*'E Balans VL '!I13/100/3.6*1000000</f>
        <v>24.724001584234145</v>
      </c>
      <c r="F8" s="33">
        <f>$C$28*('E Balans VL '!L13+'E Balans VL '!N13)/100/3.6*1000000</f>
        <v>379.46444876905792</v>
      </c>
      <c r="G8" s="34"/>
      <c r="H8" s="33"/>
      <c r="I8" s="33"/>
      <c r="J8" s="33">
        <f>$C$28*('E Balans VL '!D13+'E Balans VL '!E13)/100/3.6*1000000</f>
        <v>0</v>
      </c>
      <c r="K8" s="33"/>
      <c r="L8" s="33"/>
      <c r="M8" s="33"/>
      <c r="N8" s="33">
        <f>$C$28*'E Balans VL '!Y13/100/3.6*1000000</f>
        <v>16.678437246262746</v>
      </c>
      <c r="O8" s="33"/>
      <c r="P8" s="33"/>
      <c r="R8" s="32"/>
    </row>
    <row r="9" spans="1:18">
      <c r="A9" s="32" t="s">
        <v>50</v>
      </c>
      <c r="B9" s="37">
        <f t="shared" si="0"/>
        <v>500.41</v>
      </c>
      <c r="C9" s="33"/>
      <c r="D9" s="37">
        <f>IF(ISERROR(TER_gezond_gas_kWh/1000),0,TER_gezond_gas_kWh/1000)*0.902</f>
        <v>341.90941400000003</v>
      </c>
      <c r="E9" s="33">
        <f>$C$29*'E Balans VL '!I10/100/3.6*1000000</f>
        <v>0.17209320832755493</v>
      </c>
      <c r="F9" s="33">
        <f>$C$29*('E Balans VL '!L10+'E Balans VL '!N10)/100/3.6*1000000</f>
        <v>43.737805016573517</v>
      </c>
      <c r="G9" s="34"/>
      <c r="H9" s="33"/>
      <c r="I9" s="33"/>
      <c r="J9" s="33">
        <f>$C$29*('E Balans VL '!D10+'E Balans VL '!E10)/100/3.6*1000000</f>
        <v>20.757435944927845</v>
      </c>
      <c r="K9" s="33"/>
      <c r="L9" s="33"/>
      <c r="M9" s="33"/>
      <c r="N9" s="33">
        <f>$C$29*'E Balans VL '!Y10/100/3.6*1000000</f>
        <v>5.2466139297621206</v>
      </c>
      <c r="O9" s="33"/>
      <c r="P9" s="33"/>
      <c r="R9" s="32"/>
    </row>
    <row r="10" spans="1:18">
      <c r="A10" s="32" t="s">
        <v>49</v>
      </c>
      <c r="B10" s="37">
        <f t="shared" si="0"/>
        <v>3219.5520000000001</v>
      </c>
      <c r="C10" s="33"/>
      <c r="D10" s="37">
        <f>IF(ISERROR(TER_ander_gas_kWh/1000),0,TER_ander_gas_kWh/1000)*0.902</f>
        <v>2061.465076</v>
      </c>
      <c r="E10" s="33">
        <f>$C$30*'E Balans VL '!I14/100/3.6*1000000</f>
        <v>1.9147850489971745</v>
      </c>
      <c r="F10" s="33">
        <f>$C$30*('E Balans VL '!L14+'E Balans VL '!N14)/100/3.6*1000000</f>
        <v>570.03178766685653</v>
      </c>
      <c r="G10" s="34"/>
      <c r="H10" s="33"/>
      <c r="I10" s="33"/>
      <c r="J10" s="33">
        <f>$C$30*('E Balans VL '!D14+'E Balans VL '!E14)/100/3.6*1000000</f>
        <v>0</v>
      </c>
      <c r="K10" s="33"/>
      <c r="L10" s="33"/>
      <c r="M10" s="33"/>
      <c r="N10" s="33">
        <f>$C$30*'E Balans VL '!Y14/100/3.6*1000000</f>
        <v>1911.6602210020849</v>
      </c>
      <c r="O10" s="33"/>
      <c r="P10" s="33"/>
      <c r="R10" s="32"/>
    </row>
    <row r="11" spans="1:18">
      <c r="A11" s="32" t="s">
        <v>54</v>
      </c>
      <c r="B11" s="37">
        <f t="shared" si="0"/>
        <v>282.26799999999997</v>
      </c>
      <c r="C11" s="33"/>
      <c r="D11" s="37">
        <f>IF(ISERROR(TER_onderwijs_gas_kWh/1000),0,TER_onderwijs_gas_kWh/1000)*0.902</f>
        <v>0</v>
      </c>
      <c r="E11" s="33">
        <f>$C$31*'E Balans VL '!I11/100/3.6*1000000</f>
        <v>0.18775084899355118</v>
      </c>
      <c r="F11" s="33">
        <f>$C$31*('E Balans VL '!L11+'E Balans VL '!N11)/100/3.6*1000000</f>
        <v>90.43316726070907</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0</v>
      </c>
      <c r="C12" s="33"/>
      <c r="D12" s="37">
        <f>IF(ISERROR(TER_rest_gas_kWh/1000),0,TER_rest_gas_kWh/1000)*0.902</f>
        <v>9.4755100000000017</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15864.555</v>
      </c>
      <c r="C16" s="21">
        <f t="shared" ca="1" si="1"/>
        <v>0</v>
      </c>
      <c r="D16" s="21">
        <f t="shared" ca="1" si="1"/>
        <v>10523.995702000002</v>
      </c>
      <c r="E16" s="21">
        <f t="shared" si="1"/>
        <v>89.076011975759585</v>
      </c>
      <c r="F16" s="21">
        <f t="shared" ca="1" si="1"/>
        <v>2156.0435151789202</v>
      </c>
      <c r="G16" s="21">
        <f t="shared" si="1"/>
        <v>0</v>
      </c>
      <c r="H16" s="21">
        <f t="shared" si="1"/>
        <v>0</v>
      </c>
      <c r="I16" s="21">
        <f t="shared" si="1"/>
        <v>0</v>
      </c>
      <c r="J16" s="21">
        <f t="shared" si="1"/>
        <v>20.757435944927845</v>
      </c>
      <c r="K16" s="21">
        <f t="shared" si="1"/>
        <v>0</v>
      </c>
      <c r="L16" s="21">
        <f t="shared" ca="1" si="1"/>
        <v>0</v>
      </c>
      <c r="M16" s="21">
        <f t="shared" si="1"/>
        <v>0</v>
      </c>
      <c r="N16" s="21">
        <f t="shared" ca="1" si="1"/>
        <v>1970.8740520892695</v>
      </c>
      <c r="O16" s="21">
        <f>O5</f>
        <v>3.1266666666666669</v>
      </c>
      <c r="P16" s="21">
        <f>P5</f>
        <v>95.333333333333343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0.18722257041166773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2970.2027655372754</v>
      </c>
      <c r="C20" s="23">
        <f t="shared" ref="C20:P20" ca="1" si="2">C16*C18</f>
        <v>0</v>
      </c>
      <c r="D20" s="23">
        <f t="shared" ca="1" si="2"/>
        <v>2125.8471318040006</v>
      </c>
      <c r="E20" s="23">
        <f t="shared" si="2"/>
        <v>20.220254718497426</v>
      </c>
      <c r="F20" s="23">
        <f t="shared" ca="1" si="2"/>
        <v>575.66361855277171</v>
      </c>
      <c r="G20" s="23">
        <f t="shared" si="2"/>
        <v>0</v>
      </c>
      <c r="H20" s="23">
        <f t="shared" si="2"/>
        <v>0</v>
      </c>
      <c r="I20" s="23">
        <f t="shared" si="2"/>
        <v>0</v>
      </c>
      <c r="J20" s="23">
        <f t="shared" si="2"/>
        <v>7.3481323245044567</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4176.7719999999999</v>
      </c>
      <c r="C26" s="39">
        <f>IF(ISERROR(B26*3.6/1000000/'E Balans VL '!Z12*100),0,B26*3.6/1000000/'E Balans VL '!Z12*100)</f>
        <v>8.7539955829450594E-2</v>
      </c>
      <c r="D26" s="235" t="s">
        <v>647</v>
      </c>
      <c r="F26" s="6"/>
    </row>
    <row r="27" spans="1:18">
      <c r="A27" s="230" t="s">
        <v>52</v>
      </c>
      <c r="B27" s="33">
        <f>IF(ISERROR(TER_horeca_ele_kWh/1000),0,TER_horeca_ele_kWh/1000)</f>
        <v>2039.989</v>
      </c>
      <c r="C27" s="39">
        <f>IF(ISERROR(B27*3.6/1000000/'E Balans VL '!Z9*100),0,B27*3.6/1000000/'E Balans VL '!Z9*100)</f>
        <v>0.15640560560794523</v>
      </c>
      <c r="D27" s="235" t="s">
        <v>647</v>
      </c>
      <c r="F27" s="6"/>
    </row>
    <row r="28" spans="1:18">
      <c r="A28" s="170" t="s">
        <v>51</v>
      </c>
      <c r="B28" s="33">
        <f>IF(ISERROR(TER_handel_ele_kWh/1000),0,TER_handel_ele_kWh/1000)</f>
        <v>5645.5640000000003</v>
      </c>
      <c r="C28" s="39">
        <f>IF(ISERROR(B28*3.6/1000000/'E Balans VL '!Z13*100),0,B28*3.6/1000000/'E Balans VL '!Z13*100)</f>
        <v>0.15926968888706894</v>
      </c>
      <c r="D28" s="235" t="s">
        <v>647</v>
      </c>
      <c r="F28" s="6"/>
    </row>
    <row r="29" spans="1:18">
      <c r="A29" s="230" t="s">
        <v>50</v>
      </c>
      <c r="B29" s="33">
        <f>IF(ISERROR(TER_gezond_ele_kWh/1000),0,TER_gezond_ele_kWh/1000)</f>
        <v>500.41</v>
      </c>
      <c r="C29" s="39">
        <f>IF(ISERROR(B29*3.6/1000000/'E Balans VL '!Z10*100),0,B29*3.6/1000000/'E Balans VL '!Z10*100)</f>
        <v>5.5564306885974295E-2</v>
      </c>
      <c r="D29" s="235" t="s">
        <v>647</v>
      </c>
      <c r="F29" s="6"/>
    </row>
    <row r="30" spans="1:18">
      <c r="A30" s="230" t="s">
        <v>49</v>
      </c>
      <c r="B30" s="33">
        <f>IF(ISERROR(TER_ander_ele_kWh/1000),0,TER_ander_ele_kWh/1000)</f>
        <v>3219.5520000000001</v>
      </c>
      <c r="C30" s="39">
        <f>IF(ISERROR(B30*3.6/1000000/'E Balans VL '!Z14*100),0,B30*3.6/1000000/'E Balans VL '!Z14*100)</f>
        <v>0.23230815779873545</v>
      </c>
      <c r="D30" s="235" t="s">
        <v>647</v>
      </c>
      <c r="F30" s="6"/>
    </row>
    <row r="31" spans="1:18">
      <c r="A31" s="230" t="s">
        <v>54</v>
      </c>
      <c r="B31" s="33">
        <f>IF(ISERROR(TER_onderwijs_ele_kWh/1000),0,TER_onderwijs_ele_kWh/1000)</f>
        <v>282.26799999999997</v>
      </c>
      <c r="C31" s="39">
        <f>IF(ISERROR(B31*3.6/1000000/'E Balans VL '!Z11*100),0,B31*3.6/1000000/'E Balans VL '!Z11*100)</f>
        <v>7.8242453725785796E-2</v>
      </c>
      <c r="D31" s="235" t="s">
        <v>647</v>
      </c>
    </row>
    <row r="32" spans="1:18">
      <c r="A32" s="230" t="s">
        <v>249</v>
      </c>
      <c r="B32" s="33">
        <f>IF(ISERROR(TER_rest_ele_kWh/1000),0,TER_rest_ele_kWh/1000)</f>
        <v>0</v>
      </c>
      <c r="C32" s="39">
        <f>IF(ISERROR(B32*3.6/1000000/'E Balans VL '!Z8*100),0,B32*3.6/1000000/'E Balans VL '!Z8*100)</f>
        <v>0</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2</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5</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54165.55</v>
      </c>
      <c r="C5" s="17">
        <f>IF(ISERROR('Eigen informatie GS &amp; warmtenet'!B59),0,'Eigen informatie GS &amp; warmtenet'!B59)</f>
        <v>0</v>
      </c>
      <c r="D5" s="30">
        <f>SUM(D6:D15)</f>
        <v>80922.876782000007</v>
      </c>
      <c r="E5" s="17">
        <f>SUM(E6:E15)</f>
        <v>5822.7927852228349</v>
      </c>
      <c r="F5" s="17">
        <f>SUM(F6:F15)</f>
        <v>30069.66023401526</v>
      </c>
      <c r="G5" s="18"/>
      <c r="H5" s="17"/>
      <c r="I5" s="17"/>
      <c r="J5" s="17">
        <f>SUM(J6:J15)</f>
        <v>41.964375935094367</v>
      </c>
      <c r="K5" s="17"/>
      <c r="L5" s="17"/>
      <c r="M5" s="17"/>
      <c r="N5" s="17">
        <f>SUM(N6:N15)</f>
        <v>4128.411740212684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22241.773000000001</v>
      </c>
      <c r="C8" s="33"/>
      <c r="D8" s="37">
        <f>IF( ISERROR(IND_metaal_Gas_kWH/1000),0,IND_metaal_Gas_kWH/1000)*0.902</f>
        <v>39321.335196</v>
      </c>
      <c r="E8" s="33">
        <f>C30*'E Balans VL '!I18/100/3.6*1000000</f>
        <v>638.86720593397672</v>
      </c>
      <c r="F8" s="33">
        <f>C30*'E Balans VL '!L18/100/3.6*1000000+C30*'E Balans VL '!N18/100/3.6*1000000</f>
        <v>5704.5870037297227</v>
      </c>
      <c r="G8" s="34"/>
      <c r="H8" s="33"/>
      <c r="I8" s="33"/>
      <c r="J8" s="40">
        <f>C30*'E Balans VL '!D18/100/3.6*1000000+C30*'E Balans VL '!E18/100/3.6*1000000</f>
        <v>0</v>
      </c>
      <c r="K8" s="33"/>
      <c r="L8" s="33"/>
      <c r="M8" s="33"/>
      <c r="N8" s="33">
        <f>C30*'E Balans VL '!Y18/100/3.6*1000000</f>
        <v>603.90953884112946</v>
      </c>
      <c r="O8" s="33"/>
      <c r="P8" s="33"/>
      <c r="R8" s="32"/>
    </row>
    <row r="9" spans="1:18">
      <c r="A9" s="6" t="s">
        <v>32</v>
      </c>
      <c r="B9" s="37">
        <f t="shared" si="0"/>
        <v>16627.096000000001</v>
      </c>
      <c r="C9" s="33"/>
      <c r="D9" s="37">
        <f>IF( ISERROR(IND_andere_gas_kWh/1000),0,IND_andere_gas_kWh/1000)*0.902</f>
        <v>27624.566309999998</v>
      </c>
      <c r="E9" s="33">
        <f>C31*'E Balans VL '!I19/100/3.6*1000000</f>
        <v>4500.546076118153</v>
      </c>
      <c r="F9" s="33">
        <f>C31*'E Balans VL '!L19/100/3.6*1000000+C31*'E Balans VL '!N19/100/3.6*1000000</f>
        <v>11075.405450302183</v>
      </c>
      <c r="G9" s="34"/>
      <c r="H9" s="33"/>
      <c r="I9" s="33"/>
      <c r="J9" s="40">
        <f>C31*'E Balans VL '!D19/100/3.6*1000000+C31*'E Balans VL '!E19/100/3.6*1000000</f>
        <v>0</v>
      </c>
      <c r="K9" s="33"/>
      <c r="L9" s="33"/>
      <c r="M9" s="33"/>
      <c r="N9" s="33">
        <f>C31*'E Balans VL '!Y19/100/3.6*1000000</f>
        <v>1405.7108248665236</v>
      </c>
      <c r="O9" s="33"/>
      <c r="P9" s="33"/>
      <c r="R9" s="32"/>
    </row>
    <row r="10" spans="1:18">
      <c r="A10" s="6" t="s">
        <v>40</v>
      </c>
      <c r="B10" s="37">
        <f t="shared" si="0"/>
        <v>6935.4790000000003</v>
      </c>
      <c r="C10" s="33"/>
      <c r="D10" s="37">
        <f>IF( ISERROR(IND_voed_gas_kWh/1000),0,IND_voed_gas_kWh/1000)*0.902</f>
        <v>13478.346068000001</v>
      </c>
      <c r="E10" s="33">
        <f>C32*'E Balans VL '!I20/100/3.6*1000000</f>
        <v>565.67360108838227</v>
      </c>
      <c r="F10" s="33">
        <f>C32*'E Balans VL '!L20/100/3.6*1000000+C32*'E Balans VL '!N20/100/3.6*1000000</f>
        <v>10341.42843078986</v>
      </c>
      <c r="G10" s="34"/>
      <c r="H10" s="33"/>
      <c r="I10" s="33"/>
      <c r="J10" s="40">
        <f>C32*'E Balans VL '!D20/100/3.6*1000000+C32*'E Balans VL '!E20/100/3.6*1000000</f>
        <v>9.1747968627846593E-2</v>
      </c>
      <c r="K10" s="33"/>
      <c r="L10" s="33"/>
      <c r="M10" s="33"/>
      <c r="N10" s="33">
        <f>C32*'E Balans VL '!Y20/100/3.6*1000000</f>
        <v>2037.3990035344427</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7107.2659999999996</v>
      </c>
      <c r="C12" s="33"/>
      <c r="D12" s="37">
        <f>IF( ISERROR(IND_min_gas_kWh/1000),0,IND_min_gas_kWh/1000)*0.902</f>
        <v>474.61526200000003</v>
      </c>
      <c r="E12" s="33">
        <f>C34*'E Balans VL '!I22/100/3.6*1000000</f>
        <v>55.364053532655923</v>
      </c>
      <c r="F12" s="33">
        <f>C34*'E Balans VL '!L22/100/3.6*1000000+C34*'E Balans VL '!N22/100/3.6*1000000</f>
        <v>2680.4239803648275</v>
      </c>
      <c r="G12" s="34"/>
      <c r="H12" s="33"/>
      <c r="I12" s="33"/>
      <c r="J12" s="40">
        <f>C34*'E Balans VL '!D22/100/3.6*1000000+C34*'E Balans VL '!E22/100/3.6*1000000</f>
        <v>39.08934159092756</v>
      </c>
      <c r="K12" s="33"/>
      <c r="L12" s="33"/>
      <c r="M12" s="33"/>
      <c r="N12" s="33">
        <f>C34*'E Balans VL '!Y22/100/3.6*1000000</f>
        <v>0</v>
      </c>
      <c r="O12" s="33"/>
      <c r="P12" s="33"/>
      <c r="R12" s="32"/>
    </row>
    <row r="13" spans="1:18">
      <c r="A13" s="6" t="s">
        <v>38</v>
      </c>
      <c r="B13" s="37">
        <f t="shared" si="0"/>
        <v>168.01400000000001</v>
      </c>
      <c r="C13" s="33"/>
      <c r="D13" s="37">
        <f>IF( ISERROR(IND_papier_gas_kWh/1000),0,IND_papier_gas_kWh/1000)*0.902</f>
        <v>0</v>
      </c>
      <c r="E13" s="33">
        <f>C35*'E Balans VL '!I23/100/3.6*1000000</f>
        <v>1.760252734153412</v>
      </c>
      <c r="F13" s="33">
        <f>C35*'E Balans VL '!L23/100/3.6*1000000+C35*'E Balans VL '!N23/100/3.6*1000000</f>
        <v>12.537234459814989</v>
      </c>
      <c r="G13" s="34"/>
      <c r="H13" s="33"/>
      <c r="I13" s="33"/>
      <c r="J13" s="40">
        <f>C35*'E Balans VL '!D23/100/3.6*1000000+C35*'E Balans VL '!E23/100/3.6*1000000</f>
        <v>0</v>
      </c>
      <c r="K13" s="33"/>
      <c r="L13" s="33"/>
      <c r="M13" s="33"/>
      <c r="N13" s="33">
        <f>C35*'E Balans VL '!Y23/100/3.6*1000000</f>
        <v>30.994950120400429</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1085.922</v>
      </c>
      <c r="C15" s="33"/>
      <c r="D15" s="37">
        <f>IF( ISERROR(IND_rest_gas_kWh/1000),0,IND_rest_gas_kWh/1000)*0.902</f>
        <v>24.013946000000001</v>
      </c>
      <c r="E15" s="33">
        <f>C37*'E Balans VL '!I15/100/3.6*1000000</f>
        <v>60.581595815513111</v>
      </c>
      <c r="F15" s="33">
        <f>C37*'E Balans VL '!L15/100/3.6*1000000+C37*'E Balans VL '!N15/100/3.6*1000000</f>
        <v>255.27813436885404</v>
      </c>
      <c r="G15" s="34"/>
      <c r="H15" s="33"/>
      <c r="I15" s="33"/>
      <c r="J15" s="40">
        <f>C37*'E Balans VL '!D15/100/3.6*1000000+C37*'E Balans VL '!E15/100/3.6*1000000</f>
        <v>2.7832863755389576</v>
      </c>
      <c r="K15" s="33"/>
      <c r="L15" s="33"/>
      <c r="M15" s="33"/>
      <c r="N15" s="33">
        <f>C37*'E Balans VL '!Y15/100/3.6*1000000</f>
        <v>50.397422850188036</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54165.55</v>
      </c>
      <c r="C18" s="21">
        <f>C5+C16</f>
        <v>0</v>
      </c>
      <c r="D18" s="21">
        <f>MAX((D5+D16),0)</f>
        <v>80922.876782000007</v>
      </c>
      <c r="E18" s="21">
        <f>MAX((E5+E16),0)</f>
        <v>5822.7927852228349</v>
      </c>
      <c r="F18" s="21">
        <f>MAX((F5+F16),0)</f>
        <v>30069.66023401526</v>
      </c>
      <c r="G18" s="21"/>
      <c r="H18" s="21"/>
      <c r="I18" s="21"/>
      <c r="J18" s="21">
        <f>MAX((J5+J16),0)</f>
        <v>41.964375935094367</v>
      </c>
      <c r="K18" s="21"/>
      <c r="L18" s="21">
        <f>MAX((L5+L16),0)</f>
        <v>0</v>
      </c>
      <c r="M18" s="21"/>
      <c r="N18" s="21">
        <f>MAX((N5+N16),0)</f>
        <v>4128.411740212684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0.18722257041166773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10141.013498761709</v>
      </c>
      <c r="C22" s="23">
        <f ca="1">C18*C20</f>
        <v>0</v>
      </c>
      <c r="D22" s="23">
        <f>D18*D20</f>
        <v>16346.421109964002</v>
      </c>
      <c r="E22" s="23">
        <f>E18*E20</f>
        <v>1321.7739622455836</v>
      </c>
      <c r="F22" s="23">
        <f>F18*F20</f>
        <v>8028.5992824820751</v>
      </c>
      <c r="G22" s="23"/>
      <c r="H22" s="23"/>
      <c r="I22" s="23"/>
      <c r="J22" s="23">
        <f>J18*J20</f>
        <v>14.855389081023405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22241.773000000001</v>
      </c>
      <c r="C30" s="39">
        <f>IF(ISERROR(B30*3.6/1000000/'E Balans VL '!Z18*100),0,B30*3.6/1000000/'E Balans VL '!Z18*100)</f>
        <v>2.1885336860017253</v>
      </c>
      <c r="D30" s="235" t="s">
        <v>647</v>
      </c>
    </row>
    <row r="31" spans="1:18">
      <c r="A31" s="6" t="s">
        <v>32</v>
      </c>
      <c r="B31" s="37">
        <f>IF( ISERROR(IND_ander_ele_kWh/1000),0,IND_ander_ele_kWh/1000)</f>
        <v>16627.096000000001</v>
      </c>
      <c r="C31" s="39">
        <f>IF(ISERROR(B31*3.6/1000000/'E Balans VL '!Z19*100),0,B31*3.6/1000000/'E Balans VL '!Z19*100)</f>
        <v>0.72409676749617302</v>
      </c>
      <c r="D31" s="235" t="s">
        <v>647</v>
      </c>
    </row>
    <row r="32" spans="1:18">
      <c r="A32" s="170" t="s">
        <v>40</v>
      </c>
      <c r="B32" s="37">
        <f>IF( ISERROR(IND_voed_ele_kWh/1000),0,IND_voed_ele_kWh/1000)</f>
        <v>6935.4790000000003</v>
      </c>
      <c r="C32" s="39">
        <f>IF(ISERROR(B32*3.6/1000000/'E Balans VL '!Z20*100),0,B32*3.6/1000000/'E Balans VL '!Z20*100)</f>
        <v>1.3159071197618912</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7107.2659999999996</v>
      </c>
      <c r="C34" s="39">
        <f>IF(ISERROR(B34*3.6/1000000/'E Balans VL '!Z22*100),0,B34*3.6/1000000/'E Balans VL '!Z22*100)</f>
        <v>0.99935296854062849</v>
      </c>
      <c r="D34" s="235" t="s">
        <v>647</v>
      </c>
    </row>
    <row r="35" spans="1:5">
      <c r="A35" s="170" t="s">
        <v>38</v>
      </c>
      <c r="B35" s="37">
        <f>IF( ISERROR(IND_papier_ele_kWh/1000),0,IND_papier_ele_kWh/1000)</f>
        <v>168.01400000000001</v>
      </c>
      <c r="C35" s="39">
        <f>IF(ISERROR(B35*3.6/1000000/'E Balans VL '!Z22*100),0,B35*3.6/1000000/'E Balans VL '!Z22*100)</f>
        <v>2.3624455544000344E-2</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1085.922</v>
      </c>
      <c r="C37" s="39">
        <f>IF(ISERROR(B37*3.6/1000000/'E Balans VL '!Z15*100),0,B37*3.6/1000000/'E Balans VL '!Z15*100)</f>
        <v>8.3683627971476073E-3</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816.88599999999997</v>
      </c>
      <c r="C5" s="17">
        <f>'Eigen informatie GS &amp; warmtenet'!B60</f>
        <v>0</v>
      </c>
      <c r="D5" s="30">
        <f>IF(ISERROR(SUM(LB_lb_gas_kWh,LB_rest_gas_kWh)/1000),0,SUM(LB_lb_gas_kWh,LB_rest_gas_kWh)/1000)*0.902</f>
        <v>551.14454999999998</v>
      </c>
      <c r="E5" s="17">
        <f>B17*'E Balans VL '!I25/3.6*1000000/100</f>
        <v>16.962401020868953</v>
      </c>
      <c r="F5" s="17">
        <f>B17*('E Balans VL '!L25/3.6*1000000+'E Balans VL '!N25/3.6*1000000)/100</f>
        <v>2886.895968544733</v>
      </c>
      <c r="G5" s="18"/>
      <c r="H5" s="17"/>
      <c r="I5" s="17"/>
      <c r="J5" s="17">
        <f>('E Balans VL '!D25+'E Balans VL '!E25)/3.6*1000000*landbouw!B17/100</f>
        <v>93.691657534654098</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816.88599999999997</v>
      </c>
      <c r="C8" s="21">
        <f>C5+C6</f>
        <v>0</v>
      </c>
      <c r="D8" s="21">
        <f>MAX((D5+D6),0)</f>
        <v>551.14454999999998</v>
      </c>
      <c r="E8" s="21">
        <f>MAX((E5+E6),0)</f>
        <v>16.962401020868953</v>
      </c>
      <c r="F8" s="21">
        <f>MAX((F5+F6),0)</f>
        <v>2886.895968544733</v>
      </c>
      <c r="G8" s="21"/>
      <c r="H8" s="21"/>
      <c r="I8" s="21"/>
      <c r="J8" s="21">
        <f>MAX((J5+J6),0)</f>
        <v>93.691657534654098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0.18722257041166773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152.93949665330561</v>
      </c>
      <c r="C12" s="23">
        <f ca="1">C8*C10</f>
        <v>0</v>
      </c>
      <c r="D12" s="23">
        <f>D8*D10</f>
        <v>111.33119910000001</v>
      </c>
      <c r="E12" s="23">
        <f>E8*E10</f>
        <v>3.8504650317372522</v>
      </c>
      <c r="F12" s="23">
        <f>F8*F10</f>
        <v>770.80122360144378</v>
      </c>
      <c r="G12" s="23"/>
      <c r="H12" s="23"/>
      <c r="I12" s="23"/>
      <c r="J12" s="23">
        <f>J8*J10</f>
        <v>33.16684676726755</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0.11392985024778371</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235.98487868513848</v>
      </c>
      <c r="C26" s="245">
        <f>B26*'GWP N2O_CH4'!B5</f>
        <v>4955.6824523879077</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55.802805082532501</v>
      </c>
      <c r="C27" s="245">
        <f>B27*'GWP N2O_CH4'!B5</f>
        <v>1171.8589067331825</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3.8068201552591501</v>
      </c>
      <c r="C28" s="245">
        <f>B28*'GWP N2O_CH4'!B4</f>
        <v>1180.1142481303366</v>
      </c>
      <c r="D28" s="50"/>
    </row>
    <row r="29" spans="1:4">
      <c r="A29" s="41" t="s">
        <v>266</v>
      </c>
      <c r="B29" s="245">
        <f>B34*'ha_N2O bodem landbouw'!B4</f>
        <v>12.866308176265534</v>
      </c>
      <c r="C29" s="245">
        <f>B29*'GWP N2O_CH4'!B4</f>
        <v>3988.5555346423153</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3.2125885878739654E-3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3.4585814960462248E-5</v>
      </c>
      <c r="C5" s="434" t="s">
        <v>204</v>
      </c>
      <c r="D5" s="419">
        <f>SUM(D6:D11)</f>
        <v>3.2556784945101232E-5</v>
      </c>
      <c r="E5" s="419">
        <f>SUM(E6:E11)</f>
        <v>1.1568071625921764E-3</v>
      </c>
      <c r="F5" s="432" t="s">
        <v>204</v>
      </c>
      <c r="G5" s="419">
        <f>SUM(G6:G11)</f>
        <v>0.33148864796861344</v>
      </c>
      <c r="H5" s="419">
        <f>SUM(H6:H11)</f>
        <v>5.9480979636802753E-2</v>
      </c>
      <c r="I5" s="434" t="s">
        <v>204</v>
      </c>
      <c r="J5" s="434" t="s">
        <v>204</v>
      </c>
      <c r="K5" s="434" t="s">
        <v>204</v>
      </c>
      <c r="L5" s="434" t="s">
        <v>204</v>
      </c>
      <c r="M5" s="419">
        <f>SUM(M6:M11)</f>
        <v>1.7678475065774704E-2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2.9087491626608097E-5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2.5800836134402679E-5</v>
      </c>
      <c r="E6" s="836">
        <f>vkm_GW_PW*SUMIFS(TableVerdeelsleutelVkm[LPG],TableVerdeelsleutelVkm[Voertuigtype],"Lichte voertuigen")*SUMIFS(TableECFTransport[EnergieConsumptieFactor (PJ per km)],TableECFTransport[Index],CONCATENATE($A6,"_LPG_LPG"))</f>
        <v>9.2648673143319127E-4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0.1841804027262294</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4.754505015491356E-2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1.048330327216105E-2</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6.2854330679390785E-7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9.8357681952652709E-2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2.5873567880759864E-6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4.4410166349196619E-3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4.8411527238678692E-6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6.7559488106985538E-6</v>
      </c>
      <c r="E8" s="422">
        <f>vkm_NGW_PW*SUMIFS(TableVerdeelsleutelVkm[LPG],TableVerdeelsleutelVkm[Voertuigtype],"Lichte voertuigen")*SUMIFS(TableECFTransport[EnergieConsumptieFactor (PJ per km)],TableECFTransport[Index],CONCATENATE($A8,"_LPG_LPG"))</f>
        <v>2.3032043115898523E-4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4.3196249151048478E-2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1.1933199886327716E-2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2.4943385042256075E-3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2.8627303192376746E-8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5.7543141386828906E-3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1.4223877339507208E-7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2.5981665446838607E-4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9.6071708223506231</v>
      </c>
      <c r="C14" s="21"/>
      <c r="D14" s="21">
        <f t="shared" ref="D14:M14" si="0">((D5)*10^9/3600)+D12</f>
        <v>9.0435513736392323</v>
      </c>
      <c r="E14" s="21">
        <f t="shared" si="0"/>
        <v>321.3353229422712</v>
      </c>
      <c r="F14" s="21"/>
      <c r="G14" s="21">
        <f t="shared" si="0"/>
        <v>92080.179991281519</v>
      </c>
      <c r="H14" s="21">
        <f t="shared" si="0"/>
        <v>16522.494343556322</v>
      </c>
      <c r="I14" s="21"/>
      <c r="J14" s="21"/>
      <c r="K14" s="21"/>
      <c r="L14" s="21"/>
      <c r="M14" s="21">
        <f t="shared" si="0"/>
        <v>4910.6875182707518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0.18722257041166773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1.7986792157444593</v>
      </c>
      <c r="C18" s="23"/>
      <c r="D18" s="23">
        <f t="shared" ref="D18:M18" si="1">D14*D16</f>
        <v>1.8267973774751249</v>
      </c>
      <c r="E18" s="23">
        <f t="shared" si="1"/>
        <v>72.94311830789556</v>
      </c>
      <c r="F18" s="23"/>
      <c r="G18" s="23">
        <f t="shared" si="1"/>
        <v>24585.408057672168</v>
      </c>
      <c r="H18" s="23">
        <f t="shared" si="1"/>
        <v>4114.1010915455245</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4.3902110129730877E-5</v>
      </c>
      <c r="C50" s="316">
        <f t="shared" ref="C50:P50" si="2">SUM(C51:C52)</f>
        <v>0</v>
      </c>
      <c r="D50" s="316">
        <f t="shared" si="2"/>
        <v>0</v>
      </c>
      <c r="E50" s="316">
        <f t="shared" si="2"/>
        <v>0</v>
      </c>
      <c r="F50" s="316">
        <f t="shared" si="2"/>
        <v>0</v>
      </c>
      <c r="G50" s="316">
        <f t="shared" si="2"/>
        <v>8.5452973213579596E-3</v>
      </c>
      <c r="H50" s="316">
        <f t="shared" si="2"/>
        <v>0</v>
      </c>
      <c r="I50" s="316">
        <f t="shared" si="2"/>
        <v>0</v>
      </c>
      <c r="J50" s="316">
        <f t="shared" si="2"/>
        <v>0</v>
      </c>
      <c r="K50" s="316">
        <f t="shared" si="2"/>
        <v>0</v>
      </c>
      <c r="L50" s="316">
        <f t="shared" si="2"/>
        <v>0</v>
      </c>
      <c r="M50" s="316">
        <f t="shared" si="2"/>
        <v>3.8317831220669683E-4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4.3902110129730877E-5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8.5452973213579596E-3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3.8317831220669683E-4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12.195030591591911</v>
      </c>
      <c r="C54" s="21">
        <f t="shared" ref="C54:P54" si="3">(C50)*10^9/3600</f>
        <v>0</v>
      </c>
      <c r="D54" s="21">
        <f t="shared" si="3"/>
        <v>0</v>
      </c>
      <c r="E54" s="21">
        <f t="shared" si="3"/>
        <v>0</v>
      </c>
      <c r="F54" s="21">
        <f t="shared" si="3"/>
        <v>0</v>
      </c>
      <c r="G54" s="21">
        <f t="shared" si="3"/>
        <v>2373.6937003772109</v>
      </c>
      <c r="H54" s="21">
        <f t="shared" si="3"/>
        <v>0</v>
      </c>
      <c r="I54" s="21">
        <f t="shared" si="3"/>
        <v>0</v>
      </c>
      <c r="J54" s="21">
        <f t="shared" si="3"/>
        <v>0</v>
      </c>
      <c r="K54" s="21">
        <f t="shared" si="3"/>
        <v>0</v>
      </c>
      <c r="L54" s="21">
        <f t="shared" si="3"/>
        <v>0</v>
      </c>
      <c r="M54" s="21">
        <f t="shared" si="3"/>
        <v>106.43842005741578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0.18722257041166773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2.2831849736067586</v>
      </c>
      <c r="C58" s="23">
        <f t="shared" ref="C58:P58" ca="1" si="4">C54*C56</f>
        <v>0</v>
      </c>
      <c r="D58" s="23">
        <f t="shared" si="4"/>
        <v>0</v>
      </c>
      <c r="E58" s="23">
        <f t="shared" si="4"/>
        <v>0</v>
      </c>
      <c r="F58" s="23">
        <f t="shared" si="4"/>
        <v>0</v>
      </c>
      <c r="G58" s="23">
        <f t="shared" si="4"/>
        <v>633.7762180007154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16611.135547398851</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16611.135547398851</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16919.654999999999</v>
      </c>
      <c r="D10" s="640">
        <f ca="1">tertiair!C16</f>
        <v>0</v>
      </c>
      <c r="E10" s="640">
        <f ca="1">tertiair!D16</f>
        <v>10523.995702000002</v>
      </c>
      <c r="F10" s="640">
        <f>tertiair!E16</f>
        <v>89.076011975759585</v>
      </c>
      <c r="G10" s="640">
        <f ca="1">tertiair!F16</f>
        <v>2156.0435151789202</v>
      </c>
      <c r="H10" s="640">
        <f>tertiair!G16</f>
        <v>0</v>
      </c>
      <c r="I10" s="640">
        <f>tertiair!H16</f>
        <v>0</v>
      </c>
      <c r="J10" s="640">
        <f>tertiair!I16</f>
        <v>0</v>
      </c>
      <c r="K10" s="640">
        <f>tertiair!J16</f>
        <v>20.757435944927845</v>
      </c>
      <c r="L10" s="640">
        <f>tertiair!K16</f>
        <v>0</v>
      </c>
      <c r="M10" s="640">
        <f ca="1">tertiair!L16</f>
        <v>0</v>
      </c>
      <c r="N10" s="640">
        <f>tertiair!M16</f>
        <v>0</v>
      </c>
      <c r="O10" s="640">
        <f ca="1">tertiair!N16</f>
        <v>1970.8740520892695</v>
      </c>
      <c r="P10" s="640">
        <f>tertiair!O16</f>
        <v>3.1266666666666669</v>
      </c>
      <c r="Q10" s="641">
        <f>tertiair!P16</f>
        <v>95.333333333333343</v>
      </c>
      <c r="R10" s="643">
        <f ca="1">SUM(C10:Q10)</f>
        <v>31778.861717188873</v>
      </c>
      <c r="S10" s="67"/>
    </row>
    <row r="11" spans="1:19" s="444" customFormat="1">
      <c r="A11" s="754" t="s">
        <v>214</v>
      </c>
      <c r="B11" s="759"/>
      <c r="C11" s="640">
        <f>huishoudens!B8</f>
        <v>35843.183808089401</v>
      </c>
      <c r="D11" s="640">
        <f>huishoudens!C8</f>
        <v>0</v>
      </c>
      <c r="E11" s="640">
        <f>huishoudens!D8</f>
        <v>57179.355794000003</v>
      </c>
      <c r="F11" s="640">
        <f>huishoudens!E8</f>
        <v>2582.3082366736262</v>
      </c>
      <c r="G11" s="640">
        <f>huishoudens!F8</f>
        <v>79136.056716105915</v>
      </c>
      <c r="H11" s="640">
        <f>huishoudens!G8</f>
        <v>0</v>
      </c>
      <c r="I11" s="640">
        <f>huishoudens!H8</f>
        <v>0</v>
      </c>
      <c r="J11" s="640">
        <f>huishoudens!I8</f>
        <v>0</v>
      </c>
      <c r="K11" s="640">
        <f>huishoudens!J8</f>
        <v>1498.6793405138176</v>
      </c>
      <c r="L11" s="640">
        <f>huishoudens!K8</f>
        <v>0</v>
      </c>
      <c r="M11" s="640">
        <f>huishoudens!L8</f>
        <v>0</v>
      </c>
      <c r="N11" s="640">
        <f>huishoudens!M8</f>
        <v>0</v>
      </c>
      <c r="O11" s="640">
        <f>huishoudens!N8</f>
        <v>13017.067054832531</v>
      </c>
      <c r="P11" s="640">
        <f>huishoudens!O8</f>
        <v>278.27333333333337</v>
      </c>
      <c r="Q11" s="641">
        <f>huishoudens!P8</f>
        <v>572</v>
      </c>
      <c r="R11" s="643">
        <f>SUM(C11:Q11)</f>
        <v>190106.92428354864</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54165.55</v>
      </c>
      <c r="D13" s="640">
        <f>industrie!C18</f>
        <v>0</v>
      </c>
      <c r="E13" s="640">
        <f>industrie!D18</f>
        <v>80922.876782000007</v>
      </c>
      <c r="F13" s="640">
        <f>industrie!E18</f>
        <v>5822.7927852228349</v>
      </c>
      <c r="G13" s="640">
        <f>industrie!F18</f>
        <v>30069.66023401526</v>
      </c>
      <c r="H13" s="640">
        <f>industrie!G18</f>
        <v>0</v>
      </c>
      <c r="I13" s="640">
        <f>industrie!H18</f>
        <v>0</v>
      </c>
      <c r="J13" s="640">
        <f>industrie!I18</f>
        <v>0</v>
      </c>
      <c r="K13" s="640">
        <f>industrie!J18</f>
        <v>41.964375935094367</v>
      </c>
      <c r="L13" s="640">
        <f>industrie!K18</f>
        <v>0</v>
      </c>
      <c r="M13" s="640">
        <f>industrie!L18</f>
        <v>0</v>
      </c>
      <c r="N13" s="640">
        <f>industrie!M18</f>
        <v>0</v>
      </c>
      <c r="O13" s="640">
        <f>industrie!N18</f>
        <v>4128.411740212684</v>
      </c>
      <c r="P13" s="640">
        <f>industrie!O18</f>
        <v>0</v>
      </c>
      <c r="Q13" s="641">
        <f>industrie!P18</f>
        <v>0</v>
      </c>
      <c r="R13" s="643">
        <f>SUM(C13:Q13)</f>
        <v>175151.25591738586</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106928.3888080894</v>
      </c>
      <c r="D16" s="675">
        <f t="shared" ref="D16:R16" ca="1" si="0">SUM(D9:D15)</f>
        <v>0</v>
      </c>
      <c r="E16" s="675">
        <f t="shared" ca="1" si="0"/>
        <v>148626.22827800002</v>
      </c>
      <c r="F16" s="675">
        <f t="shared" si="0"/>
        <v>8494.1770338722199</v>
      </c>
      <c r="G16" s="675">
        <f t="shared" ca="1" si="0"/>
        <v>111361.76046530009</v>
      </c>
      <c r="H16" s="675">
        <f t="shared" si="0"/>
        <v>0</v>
      </c>
      <c r="I16" s="675">
        <f t="shared" si="0"/>
        <v>0</v>
      </c>
      <c r="J16" s="675">
        <f t="shared" si="0"/>
        <v>0</v>
      </c>
      <c r="K16" s="675">
        <f t="shared" si="0"/>
        <v>1561.4011523938398</v>
      </c>
      <c r="L16" s="675">
        <f t="shared" si="0"/>
        <v>0</v>
      </c>
      <c r="M16" s="675">
        <f t="shared" ca="1" si="0"/>
        <v>0</v>
      </c>
      <c r="N16" s="675">
        <f t="shared" si="0"/>
        <v>0</v>
      </c>
      <c r="O16" s="675">
        <f t="shared" ca="1" si="0"/>
        <v>19116.352847134483</v>
      </c>
      <c r="P16" s="675">
        <f t="shared" si="0"/>
        <v>281.40000000000003</v>
      </c>
      <c r="Q16" s="675">
        <f t="shared" si="0"/>
        <v>667.33333333333337</v>
      </c>
      <c r="R16" s="675">
        <f t="shared" ca="1" si="0"/>
        <v>397037.04191812337</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12.195030591591911</v>
      </c>
      <c r="D19" s="640">
        <f>transport!C54</f>
        <v>0</v>
      </c>
      <c r="E19" s="640">
        <f>transport!D54</f>
        <v>0</v>
      </c>
      <c r="F19" s="640">
        <f>transport!E54</f>
        <v>0</v>
      </c>
      <c r="G19" s="640">
        <f>transport!F54</f>
        <v>0</v>
      </c>
      <c r="H19" s="640">
        <f>transport!G54</f>
        <v>2373.6937003772109</v>
      </c>
      <c r="I19" s="640">
        <f>transport!H54</f>
        <v>0</v>
      </c>
      <c r="J19" s="640">
        <f>transport!I54</f>
        <v>0</v>
      </c>
      <c r="K19" s="640">
        <f>transport!J54</f>
        <v>0</v>
      </c>
      <c r="L19" s="640">
        <f>transport!K54</f>
        <v>0</v>
      </c>
      <c r="M19" s="640">
        <f>transport!L54</f>
        <v>0</v>
      </c>
      <c r="N19" s="640">
        <f>transport!M54</f>
        <v>106.43842005741578</v>
      </c>
      <c r="O19" s="640">
        <f>transport!N54</f>
        <v>0</v>
      </c>
      <c r="P19" s="640">
        <f>transport!O54</f>
        <v>0</v>
      </c>
      <c r="Q19" s="641">
        <f>transport!P54</f>
        <v>0</v>
      </c>
      <c r="R19" s="643">
        <f>SUM(C19:Q19)</f>
        <v>2492.3271510262189</v>
      </c>
      <c r="S19" s="67"/>
    </row>
    <row r="20" spans="1:19" s="444" customFormat="1">
      <c r="A20" s="754" t="s">
        <v>296</v>
      </c>
      <c r="B20" s="759"/>
      <c r="C20" s="640">
        <f>transport!B14</f>
        <v>9.6071708223506231</v>
      </c>
      <c r="D20" s="640">
        <f>transport!C14</f>
        <v>0</v>
      </c>
      <c r="E20" s="640">
        <f>transport!D14</f>
        <v>9.0435513736392323</v>
      </c>
      <c r="F20" s="640">
        <f>transport!E14</f>
        <v>321.3353229422712</v>
      </c>
      <c r="G20" s="640">
        <f>transport!F14</f>
        <v>0</v>
      </c>
      <c r="H20" s="640">
        <f>transport!G14</f>
        <v>92080.179991281519</v>
      </c>
      <c r="I20" s="640">
        <f>transport!H14</f>
        <v>16522.494343556322</v>
      </c>
      <c r="J20" s="640">
        <f>transport!I14</f>
        <v>0</v>
      </c>
      <c r="K20" s="640">
        <f>transport!J14</f>
        <v>0</v>
      </c>
      <c r="L20" s="640">
        <f>transport!K14</f>
        <v>0</v>
      </c>
      <c r="M20" s="640">
        <f>transport!L14</f>
        <v>0</v>
      </c>
      <c r="N20" s="640">
        <f>transport!M14</f>
        <v>4910.6875182707518</v>
      </c>
      <c r="O20" s="640">
        <f>transport!N14</f>
        <v>0</v>
      </c>
      <c r="P20" s="640">
        <f>transport!O14</f>
        <v>0</v>
      </c>
      <c r="Q20" s="641">
        <f>transport!P14</f>
        <v>0</v>
      </c>
      <c r="R20" s="643">
        <f>SUM(C20:Q20)</f>
        <v>113853.34789824684</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21.802201413942534</v>
      </c>
      <c r="D22" s="757">
        <f t="shared" ref="D22:R22" si="1">SUM(D18:D21)</f>
        <v>0</v>
      </c>
      <c r="E22" s="757">
        <f t="shared" si="1"/>
        <v>9.0435513736392323</v>
      </c>
      <c r="F22" s="757">
        <f t="shared" si="1"/>
        <v>321.3353229422712</v>
      </c>
      <c r="G22" s="757">
        <f t="shared" si="1"/>
        <v>0</v>
      </c>
      <c r="H22" s="757">
        <f t="shared" si="1"/>
        <v>94453.873691658722</v>
      </c>
      <c r="I22" s="757">
        <f t="shared" si="1"/>
        <v>16522.494343556322</v>
      </c>
      <c r="J22" s="757">
        <f t="shared" si="1"/>
        <v>0</v>
      </c>
      <c r="K22" s="757">
        <f t="shared" si="1"/>
        <v>0</v>
      </c>
      <c r="L22" s="757">
        <f t="shared" si="1"/>
        <v>0</v>
      </c>
      <c r="M22" s="757">
        <f t="shared" si="1"/>
        <v>0</v>
      </c>
      <c r="N22" s="757">
        <f t="shared" si="1"/>
        <v>5017.1259383281676</v>
      </c>
      <c r="O22" s="757">
        <f t="shared" si="1"/>
        <v>0</v>
      </c>
      <c r="P22" s="757">
        <f t="shared" si="1"/>
        <v>0</v>
      </c>
      <c r="Q22" s="757">
        <f t="shared" si="1"/>
        <v>0</v>
      </c>
      <c r="R22" s="757">
        <f t="shared" si="1"/>
        <v>116345.67504927305</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816.88599999999997</v>
      </c>
      <c r="D24" s="640">
        <f>+landbouw!C8</f>
        <v>0</v>
      </c>
      <c r="E24" s="640">
        <f>+landbouw!D8</f>
        <v>551.14454999999998</v>
      </c>
      <c r="F24" s="640">
        <f>+landbouw!E8</f>
        <v>16.962401020868953</v>
      </c>
      <c r="G24" s="640">
        <f>+landbouw!F8</f>
        <v>2886.895968544733</v>
      </c>
      <c r="H24" s="640">
        <f>+landbouw!G8</f>
        <v>0</v>
      </c>
      <c r="I24" s="640">
        <f>+landbouw!H8</f>
        <v>0</v>
      </c>
      <c r="J24" s="640">
        <f>+landbouw!I8</f>
        <v>0</v>
      </c>
      <c r="K24" s="640">
        <f>+landbouw!J8</f>
        <v>93.691657534654098</v>
      </c>
      <c r="L24" s="640">
        <f>+landbouw!K8</f>
        <v>0</v>
      </c>
      <c r="M24" s="640">
        <f>+landbouw!L8</f>
        <v>0</v>
      </c>
      <c r="N24" s="640">
        <f>+landbouw!M8</f>
        <v>0</v>
      </c>
      <c r="O24" s="640">
        <f>+landbouw!N8</f>
        <v>0</v>
      </c>
      <c r="P24" s="640">
        <f>+landbouw!O8</f>
        <v>0</v>
      </c>
      <c r="Q24" s="641">
        <f>+landbouw!P8</f>
        <v>0</v>
      </c>
      <c r="R24" s="643">
        <f>SUM(C24:Q24)</f>
        <v>4365.5805771002561</v>
      </c>
      <c r="S24" s="67"/>
    </row>
    <row r="25" spans="1:19" s="444" customFormat="1" ht="15" thickBot="1">
      <c r="A25" s="776" t="s">
        <v>806</v>
      </c>
      <c r="B25" s="939"/>
      <c r="C25" s="940">
        <f>IF(Onbekend_ele_kWh="---",0,Onbekend_ele_kWh)/1000+IF(REST_rest_ele_kWh="---",0,REST_rest_ele_kWh)/1000</f>
        <v>916.76900000000001</v>
      </c>
      <c r="D25" s="940"/>
      <c r="E25" s="940">
        <f>IF(onbekend_gas_kWh="---",0,onbekend_gas_kWh)/1000+IF(REST_rest_gas_kWh="---",0,REST_rest_gas_kWh)/1000</f>
        <v>10918.644</v>
      </c>
      <c r="F25" s="940"/>
      <c r="G25" s="940"/>
      <c r="H25" s="940"/>
      <c r="I25" s="940"/>
      <c r="J25" s="940"/>
      <c r="K25" s="940"/>
      <c r="L25" s="940"/>
      <c r="M25" s="940"/>
      <c r="N25" s="940"/>
      <c r="O25" s="940"/>
      <c r="P25" s="940"/>
      <c r="Q25" s="941"/>
      <c r="R25" s="643">
        <f>SUM(C25:Q25)</f>
        <v>11835.413</v>
      </c>
      <c r="S25" s="67"/>
    </row>
    <row r="26" spans="1:19" s="444" customFormat="1" ht="15.75" thickBot="1">
      <c r="A26" s="648" t="s">
        <v>807</v>
      </c>
      <c r="B26" s="762"/>
      <c r="C26" s="757">
        <f>SUM(C24:C25)</f>
        <v>1733.655</v>
      </c>
      <c r="D26" s="757">
        <f t="shared" ref="D26:R26" si="2">SUM(D24:D25)</f>
        <v>0</v>
      </c>
      <c r="E26" s="757">
        <f t="shared" si="2"/>
        <v>11469.788550000001</v>
      </c>
      <c r="F26" s="757">
        <f t="shared" si="2"/>
        <v>16.962401020868953</v>
      </c>
      <c r="G26" s="757">
        <f t="shared" si="2"/>
        <v>2886.895968544733</v>
      </c>
      <c r="H26" s="757">
        <f t="shared" si="2"/>
        <v>0</v>
      </c>
      <c r="I26" s="757">
        <f t="shared" si="2"/>
        <v>0</v>
      </c>
      <c r="J26" s="757">
        <f t="shared" si="2"/>
        <v>0</v>
      </c>
      <c r="K26" s="757">
        <f t="shared" si="2"/>
        <v>93.691657534654098</v>
      </c>
      <c r="L26" s="757">
        <f t="shared" si="2"/>
        <v>0</v>
      </c>
      <c r="M26" s="757">
        <f t="shared" si="2"/>
        <v>0</v>
      </c>
      <c r="N26" s="757">
        <f t="shared" si="2"/>
        <v>0</v>
      </c>
      <c r="O26" s="757">
        <f t="shared" si="2"/>
        <v>0</v>
      </c>
      <c r="P26" s="757">
        <f t="shared" si="2"/>
        <v>0</v>
      </c>
      <c r="Q26" s="757">
        <f t="shared" si="2"/>
        <v>0</v>
      </c>
      <c r="R26" s="757">
        <f t="shared" si="2"/>
        <v>16200.993577100257</v>
      </c>
      <c r="S26" s="67"/>
    </row>
    <row r="27" spans="1:19" s="444" customFormat="1" ht="17.25" thickTop="1" thickBot="1">
      <c r="A27" s="649" t="s">
        <v>109</v>
      </c>
      <c r="B27" s="749"/>
      <c r="C27" s="650">
        <f ca="1">C22+C16+C26</f>
        <v>108683.84600950334</v>
      </c>
      <c r="D27" s="650">
        <f t="shared" ref="D27:R27" ca="1" si="3">D22+D16+D26</f>
        <v>0</v>
      </c>
      <c r="E27" s="650">
        <f t="shared" ca="1" si="3"/>
        <v>160105.06037937367</v>
      </c>
      <c r="F27" s="650">
        <f t="shared" si="3"/>
        <v>8832.4747578353599</v>
      </c>
      <c r="G27" s="650">
        <f t="shared" ca="1" si="3"/>
        <v>114248.65643384482</v>
      </c>
      <c r="H27" s="650">
        <f t="shared" si="3"/>
        <v>94453.873691658722</v>
      </c>
      <c r="I27" s="650">
        <f t="shared" si="3"/>
        <v>16522.494343556322</v>
      </c>
      <c r="J27" s="650">
        <f t="shared" si="3"/>
        <v>0</v>
      </c>
      <c r="K27" s="650">
        <f t="shared" si="3"/>
        <v>1655.0928099284938</v>
      </c>
      <c r="L27" s="650">
        <f t="shared" si="3"/>
        <v>0</v>
      </c>
      <c r="M27" s="650">
        <f t="shared" ca="1" si="3"/>
        <v>0</v>
      </c>
      <c r="N27" s="650">
        <f t="shared" si="3"/>
        <v>5017.1259383281676</v>
      </c>
      <c r="O27" s="650">
        <f t="shared" ca="1" si="3"/>
        <v>19116.352847134483</v>
      </c>
      <c r="P27" s="650">
        <f t="shared" si="3"/>
        <v>281.40000000000003</v>
      </c>
      <c r="Q27" s="650">
        <f t="shared" si="3"/>
        <v>667.33333333333337</v>
      </c>
      <c r="R27" s="650">
        <f t="shared" ca="1" si="3"/>
        <v>529583.71054449666</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3167.7412995786258</v>
      </c>
      <c r="D40" s="640">
        <f ca="1">tertiair!C20</f>
        <v>0</v>
      </c>
      <c r="E40" s="640">
        <f ca="1">tertiair!D20</f>
        <v>2125.8471318040006</v>
      </c>
      <c r="F40" s="640">
        <f>tertiair!E20</f>
        <v>20.220254718497426</v>
      </c>
      <c r="G40" s="640">
        <f ca="1">tertiair!F20</f>
        <v>575.66361855277171</v>
      </c>
      <c r="H40" s="640">
        <f>tertiair!G20</f>
        <v>0</v>
      </c>
      <c r="I40" s="640">
        <f>tertiair!H20</f>
        <v>0</v>
      </c>
      <c r="J40" s="640">
        <f>tertiair!I20</f>
        <v>0</v>
      </c>
      <c r="K40" s="640">
        <f>tertiair!J20</f>
        <v>7.3481323245044567</v>
      </c>
      <c r="L40" s="640">
        <f>tertiair!K20</f>
        <v>0</v>
      </c>
      <c r="M40" s="640">
        <f ca="1">tertiair!L20</f>
        <v>0</v>
      </c>
      <c r="N40" s="640">
        <f>tertiair!M20</f>
        <v>0</v>
      </c>
      <c r="O40" s="640">
        <f ca="1">tertiair!N20</f>
        <v>0</v>
      </c>
      <c r="P40" s="640">
        <f>tertiair!O20</f>
        <v>0</v>
      </c>
      <c r="Q40" s="717">
        <f>tertiair!P20</f>
        <v>0</v>
      </c>
      <c r="R40" s="795">
        <f t="shared" ca="1" si="4"/>
        <v>5896.8204369783989</v>
      </c>
    </row>
    <row r="41" spans="1:18">
      <c r="A41" s="767" t="s">
        <v>214</v>
      </c>
      <c r="B41" s="774"/>
      <c r="C41" s="640">
        <f ca="1">huishoudens!B12</f>
        <v>6710.6530042883669</v>
      </c>
      <c r="D41" s="640">
        <f ca="1">huishoudens!C12</f>
        <v>0</v>
      </c>
      <c r="E41" s="640">
        <f>huishoudens!D12</f>
        <v>11550.229870388001</v>
      </c>
      <c r="F41" s="640">
        <f>huishoudens!E12</f>
        <v>586.18396972491314</v>
      </c>
      <c r="G41" s="640">
        <f>huishoudens!F12</f>
        <v>21129.32714320028</v>
      </c>
      <c r="H41" s="640">
        <f>huishoudens!G12</f>
        <v>0</v>
      </c>
      <c r="I41" s="640">
        <f>huishoudens!H12</f>
        <v>0</v>
      </c>
      <c r="J41" s="640">
        <f>huishoudens!I12</f>
        <v>0</v>
      </c>
      <c r="K41" s="640">
        <f>huishoudens!J12</f>
        <v>530.53248654189144</v>
      </c>
      <c r="L41" s="640">
        <f>huishoudens!K12</f>
        <v>0</v>
      </c>
      <c r="M41" s="640">
        <f>huishoudens!L12</f>
        <v>0</v>
      </c>
      <c r="N41" s="640">
        <f>huishoudens!M12</f>
        <v>0</v>
      </c>
      <c r="O41" s="640">
        <f>huishoudens!N12</f>
        <v>0</v>
      </c>
      <c r="P41" s="640">
        <f>huishoudens!O12</f>
        <v>0</v>
      </c>
      <c r="Q41" s="717">
        <f>huishoudens!P12</f>
        <v>0</v>
      </c>
      <c r="R41" s="795">
        <f t="shared" ca="1" si="4"/>
        <v>40506.926474143453</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10141.013498761709</v>
      </c>
      <c r="D43" s="640">
        <f ca="1">industrie!C22</f>
        <v>0</v>
      </c>
      <c r="E43" s="640">
        <f>industrie!D22</f>
        <v>16346.421109964002</v>
      </c>
      <c r="F43" s="640">
        <f>industrie!E22</f>
        <v>1321.7739622455836</v>
      </c>
      <c r="G43" s="640">
        <f>industrie!F22</f>
        <v>8028.5992824820751</v>
      </c>
      <c r="H43" s="640">
        <f>industrie!G22</f>
        <v>0</v>
      </c>
      <c r="I43" s="640">
        <f>industrie!H22</f>
        <v>0</v>
      </c>
      <c r="J43" s="640">
        <f>industrie!I22</f>
        <v>0</v>
      </c>
      <c r="K43" s="640">
        <f>industrie!J22</f>
        <v>14.855389081023405</v>
      </c>
      <c r="L43" s="640">
        <f>industrie!K22</f>
        <v>0</v>
      </c>
      <c r="M43" s="640">
        <f>industrie!L22</f>
        <v>0</v>
      </c>
      <c r="N43" s="640">
        <f>industrie!M22</f>
        <v>0</v>
      </c>
      <c r="O43" s="640">
        <f>industrie!N22</f>
        <v>0</v>
      </c>
      <c r="P43" s="640">
        <f>industrie!O22</f>
        <v>0</v>
      </c>
      <c r="Q43" s="717">
        <f>industrie!P22</f>
        <v>0</v>
      </c>
      <c r="R43" s="794">
        <f t="shared" ca="1" si="4"/>
        <v>35852.663242534392</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20019.407802628702</v>
      </c>
      <c r="D46" s="675">
        <f t="shared" ref="D46:Q46" ca="1" si="5">SUM(D39:D45)</f>
        <v>0</v>
      </c>
      <c r="E46" s="675">
        <f t="shared" ca="1" si="5"/>
        <v>30022.498112156005</v>
      </c>
      <c r="F46" s="675">
        <f t="shared" si="5"/>
        <v>1928.1781866889942</v>
      </c>
      <c r="G46" s="675">
        <f t="shared" ca="1" si="5"/>
        <v>29733.590044235127</v>
      </c>
      <c r="H46" s="675">
        <f t="shared" si="5"/>
        <v>0</v>
      </c>
      <c r="I46" s="675">
        <f t="shared" si="5"/>
        <v>0</v>
      </c>
      <c r="J46" s="675">
        <f t="shared" si="5"/>
        <v>0</v>
      </c>
      <c r="K46" s="675">
        <f t="shared" si="5"/>
        <v>552.73600794741935</v>
      </c>
      <c r="L46" s="675">
        <f t="shared" si="5"/>
        <v>0</v>
      </c>
      <c r="M46" s="675">
        <f t="shared" ca="1" si="5"/>
        <v>0</v>
      </c>
      <c r="N46" s="675">
        <f t="shared" si="5"/>
        <v>0</v>
      </c>
      <c r="O46" s="675">
        <f t="shared" ca="1" si="5"/>
        <v>0</v>
      </c>
      <c r="P46" s="675">
        <f t="shared" si="5"/>
        <v>0</v>
      </c>
      <c r="Q46" s="675">
        <f t="shared" si="5"/>
        <v>0</v>
      </c>
      <c r="R46" s="675">
        <f ca="1">SUM(R39:R45)</f>
        <v>82256.410153656238</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2.2831849736067586</v>
      </c>
      <c r="D49" s="640">
        <f ca="1">transport!C58</f>
        <v>0</v>
      </c>
      <c r="E49" s="640">
        <f>transport!D58</f>
        <v>0</v>
      </c>
      <c r="F49" s="640">
        <f>transport!E58</f>
        <v>0</v>
      </c>
      <c r="G49" s="640">
        <f>transport!F58</f>
        <v>0</v>
      </c>
      <c r="H49" s="640">
        <f>transport!G58</f>
        <v>633.7762180007154</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636.05940297432221</v>
      </c>
    </row>
    <row r="50" spans="1:18">
      <c r="A50" s="770" t="s">
        <v>296</v>
      </c>
      <c r="B50" s="780"/>
      <c r="C50" s="646">
        <f ca="1">transport!B18</f>
        <v>1.7986792157444593</v>
      </c>
      <c r="D50" s="646">
        <f>transport!C18</f>
        <v>0</v>
      </c>
      <c r="E50" s="646">
        <f>transport!D18</f>
        <v>1.8267973774751249</v>
      </c>
      <c r="F50" s="646">
        <f>transport!E18</f>
        <v>72.94311830789556</v>
      </c>
      <c r="G50" s="646">
        <f>transport!F18</f>
        <v>0</v>
      </c>
      <c r="H50" s="646">
        <f>transport!G18</f>
        <v>24585.408057672168</v>
      </c>
      <c r="I50" s="646">
        <f>transport!H18</f>
        <v>4114.1010915455245</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28776.077744118811</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4.0818641893512178</v>
      </c>
      <c r="D52" s="675">
        <f t="shared" ref="D52:Q52" ca="1" si="6">SUM(D48:D51)</f>
        <v>0</v>
      </c>
      <c r="E52" s="675">
        <f t="shared" si="6"/>
        <v>1.8267973774751249</v>
      </c>
      <c r="F52" s="675">
        <f t="shared" si="6"/>
        <v>72.94311830789556</v>
      </c>
      <c r="G52" s="675">
        <f t="shared" si="6"/>
        <v>0</v>
      </c>
      <c r="H52" s="675">
        <f t="shared" si="6"/>
        <v>25219.184275672884</v>
      </c>
      <c r="I52" s="675">
        <f t="shared" si="6"/>
        <v>4114.1010915455245</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29412.137147093134</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152.93949665330561</v>
      </c>
      <c r="D54" s="646">
        <f ca="1">+landbouw!C12</f>
        <v>0</v>
      </c>
      <c r="E54" s="646">
        <f>+landbouw!D12</f>
        <v>111.33119910000001</v>
      </c>
      <c r="F54" s="646">
        <f>+landbouw!E12</f>
        <v>3.8504650317372522</v>
      </c>
      <c r="G54" s="646">
        <f>+landbouw!F12</f>
        <v>770.80122360144378</v>
      </c>
      <c r="H54" s="646">
        <f>+landbouw!G12</f>
        <v>0</v>
      </c>
      <c r="I54" s="646">
        <f>+landbouw!H12</f>
        <v>0</v>
      </c>
      <c r="J54" s="646">
        <f>+landbouw!I12</f>
        <v>0</v>
      </c>
      <c r="K54" s="646">
        <f>+landbouw!J12</f>
        <v>33.16684676726755</v>
      </c>
      <c r="L54" s="646">
        <f>+landbouw!K12</f>
        <v>0</v>
      </c>
      <c r="M54" s="646">
        <f>+landbouw!L12</f>
        <v>0</v>
      </c>
      <c r="N54" s="646">
        <f>+landbouw!M12</f>
        <v>0</v>
      </c>
      <c r="O54" s="646">
        <f>+landbouw!N12</f>
        <v>0</v>
      </c>
      <c r="P54" s="646">
        <f>+landbouw!O12</f>
        <v>0</v>
      </c>
      <c r="Q54" s="647">
        <f>+landbouw!P12</f>
        <v>0</v>
      </c>
      <c r="R54" s="674">
        <f ca="1">SUM(C54:Q54)</f>
        <v>1072.0892311537541</v>
      </c>
    </row>
    <row r="55" spans="1:18" ht="15" thickBot="1">
      <c r="A55" s="770" t="s">
        <v>806</v>
      </c>
      <c r="B55" s="780"/>
      <c r="C55" s="646">
        <f ca="1">C25*'EF ele_warmte'!B12</f>
        <v>171.63984865373422</v>
      </c>
      <c r="D55" s="646"/>
      <c r="E55" s="646">
        <f>E25*EF_CO2_aardgas</f>
        <v>2205.566088</v>
      </c>
      <c r="F55" s="646"/>
      <c r="G55" s="646"/>
      <c r="H55" s="646"/>
      <c r="I55" s="646"/>
      <c r="J55" s="646"/>
      <c r="K55" s="646"/>
      <c r="L55" s="646"/>
      <c r="M55" s="646"/>
      <c r="N55" s="646"/>
      <c r="O55" s="646"/>
      <c r="P55" s="646"/>
      <c r="Q55" s="647"/>
      <c r="R55" s="674">
        <f ca="1">SUM(C55:Q55)</f>
        <v>2377.2059366537342</v>
      </c>
    </row>
    <row r="56" spans="1:18" ht="15.75" thickBot="1">
      <c r="A56" s="768" t="s">
        <v>807</v>
      </c>
      <c r="B56" s="781"/>
      <c r="C56" s="675">
        <f ca="1">SUM(C54:C55)</f>
        <v>324.57934530703983</v>
      </c>
      <c r="D56" s="675">
        <f t="shared" ref="D56:Q56" ca="1" si="7">SUM(D54:D55)</f>
        <v>0</v>
      </c>
      <c r="E56" s="675">
        <f t="shared" si="7"/>
        <v>2316.8972871000001</v>
      </c>
      <c r="F56" s="675">
        <f t="shared" si="7"/>
        <v>3.8504650317372522</v>
      </c>
      <c r="G56" s="675">
        <f t="shared" si="7"/>
        <v>770.80122360144378</v>
      </c>
      <c r="H56" s="675">
        <f t="shared" si="7"/>
        <v>0</v>
      </c>
      <c r="I56" s="675">
        <f t="shared" si="7"/>
        <v>0</v>
      </c>
      <c r="J56" s="675">
        <f t="shared" si="7"/>
        <v>0</v>
      </c>
      <c r="K56" s="675">
        <f t="shared" si="7"/>
        <v>33.16684676726755</v>
      </c>
      <c r="L56" s="675">
        <f t="shared" si="7"/>
        <v>0</v>
      </c>
      <c r="M56" s="675">
        <f t="shared" si="7"/>
        <v>0</v>
      </c>
      <c r="N56" s="675">
        <f t="shared" si="7"/>
        <v>0</v>
      </c>
      <c r="O56" s="675">
        <f t="shared" si="7"/>
        <v>0</v>
      </c>
      <c r="P56" s="675">
        <f t="shared" si="7"/>
        <v>0</v>
      </c>
      <c r="Q56" s="676">
        <f t="shared" si="7"/>
        <v>0</v>
      </c>
      <c r="R56" s="677">
        <f ca="1">SUM(R54:R55)</f>
        <v>3449.2951678074883</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20348.069012125095</v>
      </c>
      <c r="D61" s="683">
        <f t="shared" ref="D61:Q61" ca="1" si="8">D46+D52+D56</f>
        <v>0</v>
      </c>
      <c r="E61" s="683">
        <f t="shared" ca="1" si="8"/>
        <v>32341.22219663348</v>
      </c>
      <c r="F61" s="683">
        <f t="shared" si="8"/>
        <v>2004.9717700286269</v>
      </c>
      <c r="G61" s="683">
        <f t="shared" ca="1" si="8"/>
        <v>30504.39126783657</v>
      </c>
      <c r="H61" s="683">
        <f t="shared" si="8"/>
        <v>25219.184275672884</v>
      </c>
      <c r="I61" s="683">
        <f t="shared" si="8"/>
        <v>4114.1010915455245</v>
      </c>
      <c r="J61" s="683">
        <f t="shared" si="8"/>
        <v>0</v>
      </c>
      <c r="K61" s="683">
        <f t="shared" si="8"/>
        <v>585.9028547146869</v>
      </c>
      <c r="L61" s="683">
        <f t="shared" si="8"/>
        <v>0</v>
      </c>
      <c r="M61" s="683">
        <f t="shared" ca="1" si="8"/>
        <v>0</v>
      </c>
      <c r="N61" s="683">
        <f t="shared" si="8"/>
        <v>0</v>
      </c>
      <c r="O61" s="683">
        <f t="shared" ca="1" si="8"/>
        <v>0</v>
      </c>
      <c r="P61" s="683">
        <f t="shared" si="8"/>
        <v>0</v>
      </c>
      <c r="Q61" s="683">
        <f t="shared" si="8"/>
        <v>0</v>
      </c>
      <c r="R61" s="683">
        <f ca="1">R46+R52+R56</f>
        <v>115117.84246855686</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0.18722257041166776</v>
      </c>
      <c r="D63" s="726">
        <f t="shared" ca="1" si="9"/>
        <v>0</v>
      </c>
      <c r="E63" s="946">
        <f t="shared" ca="1" si="9"/>
        <v>0.20199999999999999</v>
      </c>
      <c r="F63" s="726">
        <f t="shared" si="9"/>
        <v>0.22700000000000004</v>
      </c>
      <c r="G63" s="726">
        <f t="shared" ca="1" si="9"/>
        <v>0.26700000000000002</v>
      </c>
      <c r="H63" s="726">
        <f t="shared" si="9"/>
        <v>0.26700000000000007</v>
      </c>
      <c r="I63" s="726">
        <f t="shared" si="9"/>
        <v>0.24900000000000003</v>
      </c>
      <c r="J63" s="726">
        <f t="shared" si="9"/>
        <v>0</v>
      </c>
      <c r="K63" s="726">
        <f t="shared" si="9"/>
        <v>0.35400000000000004</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16611.135547398851</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16611.135547398851</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35843.183808089401</v>
      </c>
      <c r="C4" s="448">
        <f>huishoudens!C8</f>
        <v>0</v>
      </c>
      <c r="D4" s="448">
        <f>huishoudens!D8</f>
        <v>57179.355794000003</v>
      </c>
      <c r="E4" s="448">
        <f>huishoudens!E8</f>
        <v>2582.3082366736262</v>
      </c>
      <c r="F4" s="448">
        <f>huishoudens!F8</f>
        <v>79136.056716105915</v>
      </c>
      <c r="G4" s="448">
        <f>huishoudens!G8</f>
        <v>0</v>
      </c>
      <c r="H4" s="448">
        <f>huishoudens!H8</f>
        <v>0</v>
      </c>
      <c r="I4" s="448">
        <f>huishoudens!I8</f>
        <v>0</v>
      </c>
      <c r="J4" s="448">
        <f>huishoudens!J8</f>
        <v>1498.6793405138176</v>
      </c>
      <c r="K4" s="448">
        <f>huishoudens!K8</f>
        <v>0</v>
      </c>
      <c r="L4" s="448">
        <f>huishoudens!L8</f>
        <v>0</v>
      </c>
      <c r="M4" s="448">
        <f>huishoudens!M8</f>
        <v>0</v>
      </c>
      <c r="N4" s="448">
        <f>huishoudens!N8</f>
        <v>13017.067054832531</v>
      </c>
      <c r="O4" s="448">
        <f>huishoudens!O8</f>
        <v>278.27333333333337</v>
      </c>
      <c r="P4" s="449">
        <f>huishoudens!P8</f>
        <v>572</v>
      </c>
      <c r="Q4" s="450">
        <f>SUM(B4:P4)</f>
        <v>190106.92428354864</v>
      </c>
    </row>
    <row r="5" spans="1:17">
      <c r="A5" s="447" t="s">
        <v>149</v>
      </c>
      <c r="B5" s="448">
        <f ca="1">tertiair!B16</f>
        <v>15864.555</v>
      </c>
      <c r="C5" s="448">
        <f ca="1">tertiair!C16</f>
        <v>0</v>
      </c>
      <c r="D5" s="448">
        <f ca="1">tertiair!D16</f>
        <v>10523.995702000002</v>
      </c>
      <c r="E5" s="448">
        <f>tertiair!E16</f>
        <v>89.076011975759585</v>
      </c>
      <c r="F5" s="448">
        <f ca="1">tertiair!F16</f>
        <v>2156.0435151789202</v>
      </c>
      <c r="G5" s="448">
        <f>tertiair!G16</f>
        <v>0</v>
      </c>
      <c r="H5" s="448">
        <f>tertiair!H16</f>
        <v>0</v>
      </c>
      <c r="I5" s="448">
        <f>tertiair!I16</f>
        <v>0</v>
      </c>
      <c r="J5" s="448">
        <f>tertiair!J16</f>
        <v>20.757435944927845</v>
      </c>
      <c r="K5" s="448">
        <f>tertiair!K16</f>
        <v>0</v>
      </c>
      <c r="L5" s="448">
        <f ca="1">tertiair!L16</f>
        <v>0</v>
      </c>
      <c r="M5" s="448">
        <f>tertiair!M16</f>
        <v>0</v>
      </c>
      <c r="N5" s="448">
        <f ca="1">tertiair!N16</f>
        <v>1970.8740520892695</v>
      </c>
      <c r="O5" s="448">
        <f>tertiair!O16</f>
        <v>3.1266666666666669</v>
      </c>
      <c r="P5" s="449">
        <f>tertiair!P16</f>
        <v>95.333333333333343</v>
      </c>
      <c r="Q5" s="447">
        <f t="shared" ref="Q5:Q14" ca="1" si="0">SUM(B5:P5)</f>
        <v>30723.761717188874</v>
      </c>
    </row>
    <row r="6" spans="1:17">
      <c r="A6" s="447" t="s">
        <v>187</v>
      </c>
      <c r="B6" s="448">
        <f>'openbare verlichting'!B8</f>
        <v>1055.0999999999999</v>
      </c>
      <c r="C6" s="448"/>
      <c r="D6" s="448"/>
      <c r="E6" s="448"/>
      <c r="F6" s="448"/>
      <c r="G6" s="448"/>
      <c r="H6" s="448"/>
      <c r="I6" s="448"/>
      <c r="J6" s="448"/>
      <c r="K6" s="448"/>
      <c r="L6" s="448"/>
      <c r="M6" s="448"/>
      <c r="N6" s="448"/>
      <c r="O6" s="448"/>
      <c r="P6" s="449"/>
      <c r="Q6" s="447">
        <f t="shared" si="0"/>
        <v>1055.0999999999999</v>
      </c>
    </row>
    <row r="7" spans="1:17">
      <c r="A7" s="447" t="s">
        <v>105</v>
      </c>
      <c r="B7" s="448">
        <f>landbouw!B8</f>
        <v>816.88599999999997</v>
      </c>
      <c r="C7" s="448">
        <f>landbouw!C8</f>
        <v>0</v>
      </c>
      <c r="D7" s="448">
        <f>landbouw!D8</f>
        <v>551.14454999999998</v>
      </c>
      <c r="E7" s="448">
        <f>landbouw!E8</f>
        <v>16.962401020868953</v>
      </c>
      <c r="F7" s="448">
        <f>landbouw!F8</f>
        <v>2886.895968544733</v>
      </c>
      <c r="G7" s="448">
        <f>landbouw!G8</f>
        <v>0</v>
      </c>
      <c r="H7" s="448">
        <f>landbouw!H8</f>
        <v>0</v>
      </c>
      <c r="I7" s="448">
        <f>landbouw!I8</f>
        <v>0</v>
      </c>
      <c r="J7" s="448">
        <f>landbouw!J8</f>
        <v>93.691657534654098</v>
      </c>
      <c r="K7" s="448">
        <f>landbouw!K8</f>
        <v>0</v>
      </c>
      <c r="L7" s="448">
        <f>landbouw!L8</f>
        <v>0</v>
      </c>
      <c r="M7" s="448">
        <f>landbouw!M8</f>
        <v>0</v>
      </c>
      <c r="N7" s="448">
        <f>landbouw!N8</f>
        <v>0</v>
      </c>
      <c r="O7" s="448">
        <f>landbouw!O8</f>
        <v>0</v>
      </c>
      <c r="P7" s="449">
        <f>landbouw!P8</f>
        <v>0</v>
      </c>
      <c r="Q7" s="447">
        <f t="shared" si="0"/>
        <v>4365.5805771002561</v>
      </c>
    </row>
    <row r="8" spans="1:17">
      <c r="A8" s="447" t="s">
        <v>614</v>
      </c>
      <c r="B8" s="448">
        <f>industrie!B18</f>
        <v>54165.55</v>
      </c>
      <c r="C8" s="448">
        <f>industrie!C18</f>
        <v>0</v>
      </c>
      <c r="D8" s="448">
        <f>industrie!D18</f>
        <v>80922.876782000007</v>
      </c>
      <c r="E8" s="448">
        <f>industrie!E18</f>
        <v>5822.7927852228349</v>
      </c>
      <c r="F8" s="448">
        <f>industrie!F18</f>
        <v>30069.66023401526</v>
      </c>
      <c r="G8" s="448">
        <f>industrie!G18</f>
        <v>0</v>
      </c>
      <c r="H8" s="448">
        <f>industrie!H18</f>
        <v>0</v>
      </c>
      <c r="I8" s="448">
        <f>industrie!I18</f>
        <v>0</v>
      </c>
      <c r="J8" s="448">
        <f>industrie!J18</f>
        <v>41.964375935094367</v>
      </c>
      <c r="K8" s="448">
        <f>industrie!K18</f>
        <v>0</v>
      </c>
      <c r="L8" s="448">
        <f>industrie!L18</f>
        <v>0</v>
      </c>
      <c r="M8" s="448">
        <f>industrie!M18</f>
        <v>0</v>
      </c>
      <c r="N8" s="448">
        <f>industrie!N18</f>
        <v>4128.411740212684</v>
      </c>
      <c r="O8" s="448">
        <f>industrie!O18</f>
        <v>0</v>
      </c>
      <c r="P8" s="449">
        <f>industrie!P18</f>
        <v>0</v>
      </c>
      <c r="Q8" s="447">
        <f t="shared" si="0"/>
        <v>175151.25591738586</v>
      </c>
    </row>
    <row r="9" spans="1:17" s="453" customFormat="1">
      <c r="A9" s="451" t="s">
        <v>555</v>
      </c>
      <c r="B9" s="452">
        <f>transport!B14</f>
        <v>9.6071708223506231</v>
      </c>
      <c r="C9" s="452">
        <f>transport!C14</f>
        <v>0</v>
      </c>
      <c r="D9" s="452">
        <f>transport!D14</f>
        <v>9.0435513736392323</v>
      </c>
      <c r="E9" s="452">
        <f>transport!E14</f>
        <v>321.3353229422712</v>
      </c>
      <c r="F9" s="452">
        <f>transport!F14</f>
        <v>0</v>
      </c>
      <c r="G9" s="452">
        <f>transport!G14</f>
        <v>92080.179991281519</v>
      </c>
      <c r="H9" s="452">
        <f>transport!H14</f>
        <v>16522.494343556322</v>
      </c>
      <c r="I9" s="452">
        <f>transport!I14</f>
        <v>0</v>
      </c>
      <c r="J9" s="452">
        <f>transport!J14</f>
        <v>0</v>
      </c>
      <c r="K9" s="452">
        <f>transport!K14</f>
        <v>0</v>
      </c>
      <c r="L9" s="452">
        <f>transport!L14</f>
        <v>0</v>
      </c>
      <c r="M9" s="452">
        <f>transport!M14</f>
        <v>4910.6875182707518</v>
      </c>
      <c r="N9" s="452">
        <f>transport!N14</f>
        <v>0</v>
      </c>
      <c r="O9" s="452">
        <f>transport!O14</f>
        <v>0</v>
      </c>
      <c r="P9" s="452">
        <f>transport!P14</f>
        <v>0</v>
      </c>
      <c r="Q9" s="451">
        <f>SUM(B9:P9)</f>
        <v>113853.34789824684</v>
      </c>
    </row>
    <row r="10" spans="1:17">
      <c r="A10" s="447" t="s">
        <v>545</v>
      </c>
      <c r="B10" s="448">
        <f>transport!B54</f>
        <v>12.195030591591911</v>
      </c>
      <c r="C10" s="448">
        <f>transport!C54</f>
        <v>0</v>
      </c>
      <c r="D10" s="448">
        <f>transport!D54</f>
        <v>0</v>
      </c>
      <c r="E10" s="448">
        <f>transport!E54</f>
        <v>0</v>
      </c>
      <c r="F10" s="448">
        <f>transport!F54</f>
        <v>0</v>
      </c>
      <c r="G10" s="448">
        <f>transport!G54</f>
        <v>2373.6937003772109</v>
      </c>
      <c r="H10" s="448">
        <f>transport!H54</f>
        <v>0</v>
      </c>
      <c r="I10" s="448">
        <f>transport!I54</f>
        <v>0</v>
      </c>
      <c r="J10" s="448">
        <f>transport!J54</f>
        <v>0</v>
      </c>
      <c r="K10" s="448">
        <f>transport!K54</f>
        <v>0</v>
      </c>
      <c r="L10" s="448">
        <f>transport!L54</f>
        <v>0</v>
      </c>
      <c r="M10" s="448">
        <f>transport!M54</f>
        <v>106.43842005741578</v>
      </c>
      <c r="N10" s="448">
        <f>transport!N54</f>
        <v>0</v>
      </c>
      <c r="O10" s="448">
        <f>transport!O54</f>
        <v>0</v>
      </c>
      <c r="P10" s="449">
        <f>transport!P54</f>
        <v>0</v>
      </c>
      <c r="Q10" s="447">
        <f t="shared" si="0"/>
        <v>2492.3271510262189</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916.76900000000001</v>
      </c>
      <c r="C14" s="455"/>
      <c r="D14" s="455">
        <f>'SEAP template'!E25</f>
        <v>10918.644</v>
      </c>
      <c r="E14" s="455"/>
      <c r="F14" s="455"/>
      <c r="G14" s="455"/>
      <c r="H14" s="455"/>
      <c r="I14" s="455"/>
      <c r="J14" s="455"/>
      <c r="K14" s="455"/>
      <c r="L14" s="455"/>
      <c r="M14" s="455"/>
      <c r="N14" s="455"/>
      <c r="O14" s="455"/>
      <c r="P14" s="456"/>
      <c r="Q14" s="447">
        <f t="shared" si="0"/>
        <v>11835.413</v>
      </c>
    </row>
    <row r="15" spans="1:17" s="460" customFormat="1">
      <c r="A15" s="457" t="s">
        <v>549</v>
      </c>
      <c r="B15" s="458">
        <f ca="1">SUM(B4:B14)</f>
        <v>108683.84600950334</v>
      </c>
      <c r="C15" s="458">
        <f t="shared" ref="C15:Q15" ca="1" si="1">SUM(C4:C14)</f>
        <v>0</v>
      </c>
      <c r="D15" s="458">
        <f t="shared" ca="1" si="1"/>
        <v>160105.06037937364</v>
      </c>
      <c r="E15" s="458">
        <f t="shared" si="1"/>
        <v>8832.4747578353617</v>
      </c>
      <c r="F15" s="458">
        <f t="shared" ca="1" si="1"/>
        <v>114248.65643384482</v>
      </c>
      <c r="G15" s="458">
        <f t="shared" si="1"/>
        <v>94453.873691658722</v>
      </c>
      <c r="H15" s="458">
        <f t="shared" si="1"/>
        <v>16522.494343556322</v>
      </c>
      <c r="I15" s="458">
        <f t="shared" si="1"/>
        <v>0</v>
      </c>
      <c r="J15" s="458">
        <f t="shared" si="1"/>
        <v>1655.0928099284938</v>
      </c>
      <c r="K15" s="458">
        <f t="shared" si="1"/>
        <v>0</v>
      </c>
      <c r="L15" s="458">
        <f t="shared" ca="1" si="1"/>
        <v>0</v>
      </c>
      <c r="M15" s="458">
        <f t="shared" si="1"/>
        <v>5017.1259383281676</v>
      </c>
      <c r="N15" s="458">
        <f t="shared" ca="1" si="1"/>
        <v>19116.352847134483</v>
      </c>
      <c r="O15" s="458">
        <f t="shared" si="1"/>
        <v>281.40000000000003</v>
      </c>
      <c r="P15" s="458">
        <f t="shared" si="1"/>
        <v>667.33333333333337</v>
      </c>
      <c r="Q15" s="458">
        <f t="shared" ca="1" si="1"/>
        <v>529583.71054449677</v>
      </c>
    </row>
    <row r="17" spans="1:17">
      <c r="A17" s="461" t="s">
        <v>550</v>
      </c>
      <c r="B17" s="731">
        <f ca="1">huishoudens!B10</f>
        <v>0.18722257041166773</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6710.6530042883669</v>
      </c>
      <c r="C22" s="448">
        <f t="shared" ref="C22:C32" ca="1" si="3">C4*$C$17</f>
        <v>0</v>
      </c>
      <c r="D22" s="448">
        <f t="shared" ref="D22:D32" si="4">D4*$D$17</f>
        <v>11550.229870388001</v>
      </c>
      <c r="E22" s="448">
        <f t="shared" ref="E22:E32" si="5">E4*$E$17</f>
        <v>586.18396972491314</v>
      </c>
      <c r="F22" s="448">
        <f t="shared" ref="F22:F32" si="6">F4*$F$17</f>
        <v>21129.32714320028</v>
      </c>
      <c r="G22" s="448">
        <f t="shared" ref="G22:G32" si="7">G4*$G$17</f>
        <v>0</v>
      </c>
      <c r="H22" s="448">
        <f t="shared" ref="H22:H32" si="8">H4*$H$17</f>
        <v>0</v>
      </c>
      <c r="I22" s="448">
        <f t="shared" ref="I22:I32" si="9">I4*$I$17</f>
        <v>0</v>
      </c>
      <c r="J22" s="448">
        <f t="shared" ref="J22:J32" si="10">J4*$J$17</f>
        <v>530.53248654189144</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40506.926474143453</v>
      </c>
    </row>
    <row r="23" spans="1:17">
      <c r="A23" s="447" t="s">
        <v>149</v>
      </c>
      <c r="B23" s="448">
        <f t="shared" ca="1" si="2"/>
        <v>2970.2027655372754</v>
      </c>
      <c r="C23" s="448">
        <f t="shared" ca="1" si="3"/>
        <v>0</v>
      </c>
      <c r="D23" s="448">
        <f t="shared" ca="1" si="4"/>
        <v>2125.8471318040006</v>
      </c>
      <c r="E23" s="448">
        <f t="shared" si="5"/>
        <v>20.220254718497426</v>
      </c>
      <c r="F23" s="448">
        <f t="shared" ca="1" si="6"/>
        <v>575.66361855277171</v>
      </c>
      <c r="G23" s="448">
        <f t="shared" si="7"/>
        <v>0</v>
      </c>
      <c r="H23" s="448">
        <f t="shared" si="8"/>
        <v>0</v>
      </c>
      <c r="I23" s="448">
        <f t="shared" si="9"/>
        <v>0</v>
      </c>
      <c r="J23" s="448">
        <f t="shared" si="10"/>
        <v>7.3481323245044567</v>
      </c>
      <c r="K23" s="448">
        <f t="shared" si="11"/>
        <v>0</v>
      </c>
      <c r="L23" s="448">
        <f t="shared" ca="1" si="12"/>
        <v>0</v>
      </c>
      <c r="M23" s="448">
        <f t="shared" si="13"/>
        <v>0</v>
      </c>
      <c r="N23" s="448">
        <f t="shared" ca="1" si="14"/>
        <v>0</v>
      </c>
      <c r="O23" s="448">
        <f t="shared" si="15"/>
        <v>0</v>
      </c>
      <c r="P23" s="449">
        <f t="shared" si="16"/>
        <v>0</v>
      </c>
      <c r="Q23" s="447">
        <f t="shared" ref="Q23:Q32" ca="1" si="17">SUM(B23:P23)</f>
        <v>5699.2819029370485</v>
      </c>
    </row>
    <row r="24" spans="1:17">
      <c r="A24" s="447" t="s">
        <v>187</v>
      </c>
      <c r="B24" s="448">
        <f t="shared" ca="1" si="2"/>
        <v>197.5385340413506</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197.5385340413506</v>
      </c>
    </row>
    <row r="25" spans="1:17">
      <c r="A25" s="447" t="s">
        <v>105</v>
      </c>
      <c r="B25" s="448">
        <f t="shared" ca="1" si="2"/>
        <v>152.93949665330561</v>
      </c>
      <c r="C25" s="448">
        <f t="shared" ca="1" si="3"/>
        <v>0</v>
      </c>
      <c r="D25" s="448">
        <f t="shared" si="4"/>
        <v>111.33119910000001</v>
      </c>
      <c r="E25" s="448">
        <f t="shared" si="5"/>
        <v>3.8504650317372522</v>
      </c>
      <c r="F25" s="448">
        <f t="shared" si="6"/>
        <v>770.80122360144378</v>
      </c>
      <c r="G25" s="448">
        <f t="shared" si="7"/>
        <v>0</v>
      </c>
      <c r="H25" s="448">
        <f t="shared" si="8"/>
        <v>0</v>
      </c>
      <c r="I25" s="448">
        <f t="shared" si="9"/>
        <v>0</v>
      </c>
      <c r="J25" s="448">
        <f t="shared" si="10"/>
        <v>33.16684676726755</v>
      </c>
      <c r="K25" s="448">
        <f t="shared" si="11"/>
        <v>0</v>
      </c>
      <c r="L25" s="448">
        <f t="shared" si="12"/>
        <v>0</v>
      </c>
      <c r="M25" s="448">
        <f t="shared" si="13"/>
        <v>0</v>
      </c>
      <c r="N25" s="448">
        <f t="shared" si="14"/>
        <v>0</v>
      </c>
      <c r="O25" s="448">
        <f t="shared" si="15"/>
        <v>0</v>
      </c>
      <c r="P25" s="449">
        <f t="shared" si="16"/>
        <v>0</v>
      </c>
      <c r="Q25" s="447">
        <f t="shared" ca="1" si="17"/>
        <v>1072.0892311537541</v>
      </c>
    </row>
    <row r="26" spans="1:17">
      <c r="A26" s="447" t="s">
        <v>614</v>
      </c>
      <c r="B26" s="448">
        <f t="shared" ca="1" si="2"/>
        <v>10141.013498761709</v>
      </c>
      <c r="C26" s="448">
        <f t="shared" ca="1" si="3"/>
        <v>0</v>
      </c>
      <c r="D26" s="448">
        <f t="shared" si="4"/>
        <v>16346.421109964002</v>
      </c>
      <c r="E26" s="448">
        <f t="shared" si="5"/>
        <v>1321.7739622455836</v>
      </c>
      <c r="F26" s="448">
        <f t="shared" si="6"/>
        <v>8028.5992824820751</v>
      </c>
      <c r="G26" s="448">
        <f t="shared" si="7"/>
        <v>0</v>
      </c>
      <c r="H26" s="448">
        <f t="shared" si="8"/>
        <v>0</v>
      </c>
      <c r="I26" s="448">
        <f t="shared" si="9"/>
        <v>0</v>
      </c>
      <c r="J26" s="448">
        <f t="shared" si="10"/>
        <v>14.855389081023405</v>
      </c>
      <c r="K26" s="448">
        <f t="shared" si="11"/>
        <v>0</v>
      </c>
      <c r="L26" s="448">
        <f t="shared" si="12"/>
        <v>0</v>
      </c>
      <c r="M26" s="448">
        <f t="shared" si="13"/>
        <v>0</v>
      </c>
      <c r="N26" s="448">
        <f t="shared" si="14"/>
        <v>0</v>
      </c>
      <c r="O26" s="448">
        <f t="shared" si="15"/>
        <v>0</v>
      </c>
      <c r="P26" s="449">
        <f t="shared" si="16"/>
        <v>0</v>
      </c>
      <c r="Q26" s="447">
        <f t="shared" ca="1" si="17"/>
        <v>35852.663242534392</v>
      </c>
    </row>
    <row r="27" spans="1:17" s="453" customFormat="1">
      <c r="A27" s="451" t="s">
        <v>555</v>
      </c>
      <c r="B27" s="725">
        <f t="shared" ca="1" si="2"/>
        <v>1.7986792157444593</v>
      </c>
      <c r="C27" s="452">
        <f t="shared" ca="1" si="3"/>
        <v>0</v>
      </c>
      <c r="D27" s="452">
        <f t="shared" si="4"/>
        <v>1.8267973774751249</v>
      </c>
      <c r="E27" s="452">
        <f t="shared" si="5"/>
        <v>72.94311830789556</v>
      </c>
      <c r="F27" s="452">
        <f t="shared" si="6"/>
        <v>0</v>
      </c>
      <c r="G27" s="452">
        <f t="shared" si="7"/>
        <v>24585.408057672168</v>
      </c>
      <c r="H27" s="452">
        <f t="shared" si="8"/>
        <v>4114.1010915455245</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28776.077744118811</v>
      </c>
    </row>
    <row r="28" spans="1:17">
      <c r="A28" s="447" t="s">
        <v>545</v>
      </c>
      <c r="B28" s="448">
        <f t="shared" ca="1" si="2"/>
        <v>2.2831849736067586</v>
      </c>
      <c r="C28" s="448">
        <f t="shared" ca="1" si="3"/>
        <v>0</v>
      </c>
      <c r="D28" s="448">
        <f t="shared" si="4"/>
        <v>0</v>
      </c>
      <c r="E28" s="448">
        <f t="shared" si="5"/>
        <v>0</v>
      </c>
      <c r="F28" s="448">
        <f t="shared" si="6"/>
        <v>0</v>
      </c>
      <c r="G28" s="448">
        <f t="shared" si="7"/>
        <v>633.7762180007154</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636.05940297432221</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171.63984865373422</v>
      </c>
      <c r="C32" s="448">
        <f t="shared" ca="1" si="3"/>
        <v>0</v>
      </c>
      <c r="D32" s="448">
        <f t="shared" si="4"/>
        <v>2205.566088</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2377.2059366537342</v>
      </c>
    </row>
    <row r="33" spans="1:17" s="460" customFormat="1">
      <c r="A33" s="457" t="s">
        <v>549</v>
      </c>
      <c r="B33" s="458">
        <f ca="1">SUM(B22:B32)</f>
        <v>20348.069012125095</v>
      </c>
      <c r="C33" s="458">
        <f t="shared" ref="C33:Q33" ca="1" si="18">SUM(C22:C32)</f>
        <v>0</v>
      </c>
      <c r="D33" s="458">
        <f t="shared" ca="1" si="18"/>
        <v>32341.222196633476</v>
      </c>
      <c r="E33" s="458">
        <f t="shared" si="18"/>
        <v>2004.9717700286269</v>
      </c>
      <c r="F33" s="458">
        <f t="shared" ca="1" si="18"/>
        <v>30504.39126783657</v>
      </c>
      <c r="G33" s="458">
        <f t="shared" si="18"/>
        <v>25219.184275672884</v>
      </c>
      <c r="H33" s="458">
        <f t="shared" si="18"/>
        <v>4114.1010915455245</v>
      </c>
      <c r="I33" s="458">
        <f t="shared" si="18"/>
        <v>0</v>
      </c>
      <c r="J33" s="458">
        <f t="shared" si="18"/>
        <v>585.9028547146869</v>
      </c>
      <c r="K33" s="458">
        <f t="shared" si="18"/>
        <v>0</v>
      </c>
      <c r="L33" s="458">
        <f t="shared" ca="1" si="18"/>
        <v>0</v>
      </c>
      <c r="M33" s="458">
        <f t="shared" si="18"/>
        <v>0</v>
      </c>
      <c r="N33" s="458">
        <f t="shared" ca="1" si="18"/>
        <v>0</v>
      </c>
      <c r="O33" s="458">
        <f t="shared" si="18"/>
        <v>0</v>
      </c>
      <c r="P33" s="458">
        <f t="shared" si="18"/>
        <v>0</v>
      </c>
      <c r="Q33" s="458">
        <f t="shared" ca="1" si="18"/>
        <v>115117.84246855686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16611.135547398851</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16611.135547398851</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0.18722257041166773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0.18722257041166773</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2022-07-26T12:13:57Z</dcterms:modified>
</cp:coreProperties>
</file>