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41EF875-5FA9-4469-971C-6E89FB17D0C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<sst xmlns="http://schemas.openxmlformats.org/spreadsheetml/2006/main" count="2461" uniqueCount="914">
  <si>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</si>
  <si>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</si>
  <si>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</si>
  <si>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</si>
  <si>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</si>
  <si>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</si>
  <si>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</si>
  <si>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</si>
  <si>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</si>
  <si>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</si>
  <si>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</si>
  <si>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</si>
  <si>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</si>
  <si>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</si>
  <si>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</si>
  <si>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</si>
  <si>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</si>
  <si>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</si>
  <si>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</si>
  <si>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</si>
  <si>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</si>
  <si>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</si>
  <si>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</si>
  <si>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</si>
  <si>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</si>
  <si>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</si>
  <si>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</si>
  <si>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</si>
  <si>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</si>
  <si>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</si>
  <si>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</si>
  <si>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</si>
  <si>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</si>
  <si>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</si>
  <si>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</si>
  <si>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</si>
  <si>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</si>
  <si>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</si>
  <si>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</si>
  <si>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</si>
  <si>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</si>
  <si>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</si>
  <si>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</si>
  <si>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</si>
  <si>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</si>
  <si>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</si>
  <si>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</si>
  <si>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</si>
  <si>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</si>
  <si>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</si>
  <si>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</si>
  <si>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</si>
  <si>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</si>
  <si>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</si>
  <si>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</si>
  <si>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</si>
  <si>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</si>
  <si>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</si>
  <si>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</si>
  <si>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</si>
  <si>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</si>
  <si>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</si>
  <si>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</si>
  <si>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</si>
  <si>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</si>
  <si>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</si>
  <si>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</si>
  <si>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</si>
  <si>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</si>
  <si>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</si>
  <si>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</si>
  <si>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</si>
  <si>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</si>
  <si>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</si>
  <si>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</si>
  <si>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</si>
  <si>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</si>
  <si>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</si>
  <si>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</si>
  <si>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</si>
  <si>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</si>
  <si>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</si>
  <si>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</si>
  <si>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</si>
  <si>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</si>
  <si>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</si>
  <si>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</si>
  <si>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</si>
  <si>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</si>
  <si>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</si>
  <si>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</si>
  <si>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</si>
  <si>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</si>
  <si>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</si>
  <si>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</si>
  <si>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</si>
  <si>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</si>
  <si>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</si>
  <si>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</si>
  <si>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</si>
  <si>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</si>
  <si>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</si>
  <si>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</si>
  <si>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</si>
  <si>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</si>
  <si>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</si>
  <si>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</si>
  <si>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</si>
  <si>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</si>
  <si>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</si>
  <si>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</si>
  <si>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</si>
  <si>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</si>
  <si>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</si>
  <si>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</si>
  <si>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</si>
  <si>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</si>
  <si>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</si>
  <si>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</si>
  <si>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</si>
  <si>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</si>
  <si>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</si>
  <si>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</si>
  <si>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</si>
  <si>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</si>
  <si>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</si>
  <si>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</si>
  <si>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</si>
  <si>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</si>
  <si>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</si>
  <si>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</si>
  <si>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</si>
  <si>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</si>
  <si>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</si>
  <si>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</si>
  <si>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</si>
  <si>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</si>
  <si>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</si>
  <si>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</si>
  <si>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</si>
  <si>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</si>
  <si>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</si>
  <si>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</si>
  <si>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</si>
  <si>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</si>
  <si>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</si>
  <si>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</si>
  <si>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</si>
  <si>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</si>
  <si>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</si>
  <si>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</si>
  <si>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</si>
  <si>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</si>
  <si>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</si>
  <si>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</si>
  <si>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</si>
  <si>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</si>
  <si>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</si>
  <si>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</si>
  <si>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</si>
  <si>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</si>
  <si>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</si>
  <si>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</si>
  <si>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</si>
  <si>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</si>
  <si>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</si>
  <si>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</si>
  <si>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</si>
  <si>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</si>
  <si>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</si>
  <si>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</si>
  <si>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</si>
  <si>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</si>
  <si>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</si>
  <si>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</si>
  <si>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</si>
  <si>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</si>
  <si>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</si>
  <si>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</si>
  <si>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</si>
  <si>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</si>
  <si>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</si>
  <si>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</si>
  <si>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</si>
  <si>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</si>
  <si>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</si>
  <si>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</si>
  <si>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</si>
  <si>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</si>
  <si>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</si>
  <si>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</si>
  <si>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</si>
  <si>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</si>
  <si>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</si>
  <si>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</si>
  <si>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</si>
  <si>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</si>
  <si>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</si>
  <si>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</si>
  <si>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</si>
  <si>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</si>
  <si>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</si>
  <si>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</si>
  <si>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</si>
  <si>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</si>
  <si>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</si>
  <si>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</si>
  <si>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</si>
  <si>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</si>
  <si>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</si>
  <si>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</si>
  <si>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</si>
  <si>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</si>
  <si>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</si>
  <si>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</si>
  <si>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</si>
  <si>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</si>
  <si>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</si>
  <si>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</si>
  <si>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</si>
  <si>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</si>
  <si>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</si>
  <si>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</si>
  <si>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</si>
  <si>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</si>
  <si>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</si>
  <si>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</si>
  <si>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</si>
  <si>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</si>
  <si>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</si>
  <si>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</si>
  <si>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</si>
  <si>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</si>
  <si>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</si>
  <si>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</si>
  <si>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</si>
  <si>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</si>
  <si>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</si>
  <si>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</si>
  <si>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</si>
  <si>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</si>
  <si>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</si>
  <si>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</si>
  <si>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</si>
  <si>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</si>
  <si>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</si>
  <si>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</si>
  <si>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</si>
  <si>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</si>
  <si>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</si>
  <si>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</si>
  <si>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</si>
  <si>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</si>
  <si>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</si>
  <si>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</si>
  <si>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</si>
  <si>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</si>
  <si>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</si>
  <si>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</si>
  <si>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</si>
  <si>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</si>
  <si>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</si>
  <si>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</si>
  <si>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</si>
  <si>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</si>
  <si>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</si>
  <si>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</si>
  <si>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</si>
  <si>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</si>
  <si>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</si>
  <si>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</si>
  <si>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</si>
  <si>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</si>
  <si>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</si>
  <si>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</si>
  <si>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</si>
  <si>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</si>
  <si>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</si>
  <si>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</si>
  <si>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</si>
  <si>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</si>
  <si>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</si>
  <si>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</si>
  <si>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</si>
  <si>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</si>
  <si>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</si>
  <si>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</si>
  <si>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</si>
  <si>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</si>
  <si>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</si>
  <si>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</si>
  <si>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</si>
  <si>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</si>
  <si>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</si>
  <si>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</si>
  <si>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</si>
  <si>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</si>
  <si>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</si>
  <si>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</si>
  <si>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</si>
  <si>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</si>
  <si>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</si>
  <si>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</si>
  <si>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</si>
  <si>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</si>
  <si>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</si>
  <si>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</si>
  <si>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</si>
  <si>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</si>
  <si>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</si>
  <si>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</si>
  <si>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</si>
  <si>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</si>
  <si>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</si>
  <si>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</si>
  <si>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</si>
  <si>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</si>
  <si>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</si>
  <si>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</si>
  <si>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</si>
  <si>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</si>
  <si>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</si>
  <si>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</si>
  <si>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</si>
  <si>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</si>
  <si>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</si>
  <si>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</si>
  <si>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</si>
  <si>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</si>
  <si>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</si>
  <si>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</si>
  <si>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</si>
  <si>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</si>
  <si>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</si>
  <si>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</si>
  <si>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</si>
  <si>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</si>
  <si>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</si>
  <si>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</si>
  <si>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</si>
  <si>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</si>
  <si>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</si>
  <si>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</si>
  <si>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</si>
  <si>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</si>
  <si>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</si>
  <si>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</si>
  <si>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</si>
  <si>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</si>
  <si>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</si>
  <si>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</si>
  <si>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</si>
  <si>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</si>
  <si>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</si>
  <si>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</si>
  <si>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</si>
  <si>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</si>
  <si>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</si>
  <si>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</si>
  <si>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</si>
  <si>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</si>
  <si>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</si>
  <si>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</si>
  <si>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</si>
  <si>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</si>
  <si>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</si>
  <si>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</si>
  <si>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</si>
  <si>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</si>
  <si>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</si>
  <si>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</si>
  <si>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</si>
  <si>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</si>
  <si>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</si>
  <si>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</si>
  <si>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</si>
  <si>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</si>
  <si>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</si>
  <si>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</si>
  <si>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</si>
  <si>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</si>
  <si>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</si>
  <si>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</si>
  <si>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</si>
  <si>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</si>
  <si>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</si>
  <si>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</si>
  <si>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</si>
  <si>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</si>
  <si>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</si>
  <si>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</si>
  <si>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</si>
  <si>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</si>
  <si>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</si>
  <si>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</si>
  <si>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</si>
  <si>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</si>
  <si>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</si>
  <si>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</si>
  <si>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</si>
  <si>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</si>
  <si>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</si>
  <si>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</si>
  <si>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</si>
  <si>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</si>
  <si>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</si>
  <si>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</si>
  <si>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</si>
  <si>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</si>
  <si>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</si>
  <si>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</si>
  <si>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</si>
  <si>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</si>
  <si>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</si>
  <si>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</si>
  <si>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</si>
  <si>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</si>
  <si>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</si>
  <si>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</si>
  <si>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</si>
  <si>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</si>
  <si>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</si>
  <si>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</si>
  <si>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</si>
  <si>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</si>
  <si>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</si>
  <si>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</si>
  <si>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</si>
  <si>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</si>
  <si>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</si>
  <si>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</si>
  <si>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</si>
  <si>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</si>
  <si>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</si>
  <si>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</si>
  <si>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</si>
  <si>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</si>
  <si>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</si>
  <si>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</si>
  <si>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</si>
  <si>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</si>
  <si>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</si>
  <si>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</si>
  <si>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</si>
  <si>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</si>
  <si>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</si>
  <si>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</si>
  <si>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</si>
  <si>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</si>
  <si>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</si>
  <si>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</si>
  <si>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</si>
  <si>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</si>
  <si>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</si>
  <si>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</si>
  <si>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</si>
  <si>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</si>
  <si>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</si>
  <si>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</si>
  <si>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</si>
  <si>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</si>
  <si>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</si>
  <si>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</si>
  <si>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</si>
  <si>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</si>
  <si>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</si>
  <si>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</si>
  <si>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</si>
  <si>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</si>
  <si>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</si>
  <si>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</si>
  <si>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</si>
  <si>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</si>
  <si>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</si>
  <si>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</si>
  <si>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</si>
  <si>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</si>
  <si>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</si>
  <si>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</si>
  <si>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</si>
  <si>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</si>
  <si>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</si>
  <si>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</si>
  <si>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</si>
  <si>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</si>
  <si>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</si>
  <si>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</si>
  <si>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</si>
  <si>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</si>
  <si>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</si>
  <si>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</si>
  <si>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</si>
  <si>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</si>
  <si>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</si>
  <si>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</si>
  <si>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</si>
  <si>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</si>
  <si>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</si>
  <si>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</si>
  <si>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</si>
  <si>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</si>
  <si>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</si>
  <si>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</si>
  <si>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</si>
  <si>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</si>
  <si>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</si>
  <si>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</si>
  <si>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</si>
  <si>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</si>
  <si>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</si>
  <si>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</si>
  <si>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</si>
  <si>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</si>
  <si>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</si>
  <si>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</si>
  <si>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</si>
  <si>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</si>
  <si>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</si>
  <si>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</si>
  <si>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</si>
  <si>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</si>
  <si>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</si>
  <si>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</si>
  <si>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</si>
  <si>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</si>
  <si>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</si>
  <si>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</si>
  <si>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</si>
  <si>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</si>
  <si>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</si>
  <si>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</si>
  <si>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</si>
  <si>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</si>
  <si>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</si>
  <si>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</si>
  <si>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</si>
  <si>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</si>
  <si>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</si>
  <si>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</si>
  <si>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</si>
  <si>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</si>
  <si>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</si>
  <si>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</si>
  <si>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</si>
  <si>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</si>
  <si>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</si>
  <si>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</si>
  <si>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</si>
  <si>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</si>
  <si>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</si>
  <si>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</si>
  <si>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</si>
  <si>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</si>
  <si>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</si>
  <si>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</si>
  <si>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</si>
  <si>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</si>
  <si>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</si>
  <si>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</si>
  <si>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</si>
  <si>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</si>
  <si>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</si>
  <si>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</si>
  <si>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</si>
  <si>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</si>
  <si>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</si>
  <si>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</si>
  <si>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</si>
  <si>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</si>
  <si>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</si>
  <si>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</si>
  <si>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</si>
  <si>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</si>
  <si>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</si>
  <si>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</si>
  <si>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</si>
  <si>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</si>
  <si>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</si>
  <si>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</si>
  <si>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</si>
  <si>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</si>
  <si>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</si>
  <si>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</si>
  <si>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</si>
  <si>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</si>
  <si>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</si>
  <si>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</si>
  <si>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</si>
  <si>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</si>
  <si>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</si>
  <si>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</si>
  <si>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</si>
  <si>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</si>
  <si>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</si>
  <si>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</si>
  <si>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</si>
  <si>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</si>
  <si>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</si>
  <si>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</si>
  <si>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</si>
  <si>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</si>
  <si>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</si>
  <si>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</si>
  <si>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</si>
  <si>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</si>
  <si>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</si>
  <si>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</si>
  <si>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</si>
  <si>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</si>
  <si>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</si>
  <si>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</si>
  <si>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</si>
  <si>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</si>
  <si>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</si>
  <si>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</si>
  <si>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</si>
  <si>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</si>
  <si>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</si>
  <si>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</si>
  <si>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</si>
  <si>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</si>
  <si>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</si>
  <si>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</si>
  <si>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</si>
  <si>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</si>
  <si>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</si>
  <si>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</si>
  <si>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</si>
  <si>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</si>
  <si>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</si>
  <si>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</si>
  <si>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</si>
  <si>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</si>
  <si>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</si>
  <si>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</si>
  <si>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</si>
  <si>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</si>
  <si>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</si>
  <si>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</si>
  <si>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</si>
  <si>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</si>
  <si>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</si>
  <si>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</si>
  <si>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</si>
  <si>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</si>
  <si>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</si>
  <si>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</si>
  <si>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</si>
  <si>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</si>
  <si>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</si>
  <si>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</si>
  <si>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</si>
  <si>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</si>
  <si>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</si>
  <si>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</si>
  <si>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</si>
  <si>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</si>
  <si>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</si>
  <si>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</si>
  <si>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</si>
  <si>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</si>
  <si>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</si>
  <si>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</si>
  <si>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</si>
  <si>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</si>
  <si>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</si>
  <si>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</si>
  <si>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</si>
  <si>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</si>
  <si>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</si>
  <si>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</si>
  <si>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</si>
  <si>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</si>
  <si>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</si>
  <si>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</si>
  <si>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</si>
  <si>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</si>
  <si>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</si>
  <si>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</si>
  <si>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</si>
  <si>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</si>
  <si>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</si>
  <si>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</si>
  <si>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</si>
  <si>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</si>
  <si>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</si>
  <si>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</si>
  <si>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</si>
  <si>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</si>
  <si>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</si>
  <si>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</si>
  <si>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</si>
  <si>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</si>
  <si>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</si>
  <si>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</si>
  <si>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</si>
  <si>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</si>
  <si>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</si>
  <si>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</si>
  <si>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</si>
  <si>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</si>
  <si>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</si>
  <si>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</si>
  <si>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</si>
  <si>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</si>
  <si>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</si>
  <si>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</si>
  <si>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</si>
  <si>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</si>
  <si>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</si>
  <si>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</si>
  <si>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</si>
  <si>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</si>
  <si>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</si>
  <si>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</si>
  <si>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</si>
  <si>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</si>
  <si>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</si>
  <si>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</si>
  <si>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</si>
  <si>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</si>
  <si>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</si>
  <si>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</si>
  <si>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</si>
  <si>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</si>
  <si>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</si>
  <si>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</si>
  <si>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</si>
  <si>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</si>
  <si>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</si>
  <si>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</si>
  <si>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</si>
  <si>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</si>
  <si>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</si>
  <si>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</si>
  <si>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</si>
  <si>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</si>
  <si>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</si>
  <si>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</si>
  <si>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</si>
  <si>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</si>
  <si>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</si>
  <si>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</si>
  <si>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</si>
  <si>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</si>
  <si>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</si>
  <si>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</si>
  <si>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</si>
  <si>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</si>
  <si>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</si>
  <si>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</si>
  <si>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</si>
  <si>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</si>
  <si>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</si>
  <si>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</si>
  <si>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</si>
  <si>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</si>
  <si>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</si>
  <si>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</si>
  <si>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</si>
  <si>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</si>
  <si>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</si>
  <si>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</si>
  <si>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</si>
  <si>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</si>
  <si>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</si>
  <si>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</si>
  <si>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</si>
  <si>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</si>
  <si>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</si>
  <si>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</si>
  <si>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</si>
  <si>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</si>
  <si>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</si>
  <si>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</si>
  <si>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</si>
  <si>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</si>
  <si>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</si>
  <si>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</si>
  <si>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</si>
  <si>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</si>
  <si>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</si>
  <si>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</si>
  <si>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</si>
  <si>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</si>
  <si>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</si>
  <si>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</si>
  <si>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</si>
  <si>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</si>
  <si>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</si>
  <si>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</si>
  <si>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</si>
  <si>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</si>
  <si>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</si>
  <si>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</si>
  <si>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</si>
  <si>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</si>
  <si>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</si>
  <si>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</si>
  <si>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</si>
  <si>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</si>
  <si>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</si>
  <si>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</si>
  <si>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</si>
  <si>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</si>
  <si>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</si>
  <si>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</si>
  <si>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</si>
  <si>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</si>
  <si>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</si>
  <si>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</si>
  <si>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</si>
  <si>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</si>
  <si>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</si>
  <si>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</si>
  <si>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</si>
  <si>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</si>
  <si>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</si>
  <si>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</si>
  <si>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</si>
  <si>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</si>
  <si>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</si>
  <si>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</si>
  <si>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</si>
  <si>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</si>
  <si>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</si>
  <si>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</si>
  <si>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</si>
  <si>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</si>
  <si>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</si>
  <si>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</si>
  <si>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</si>
  <si>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</si>
  <si>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</si>
  <si>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</si>
  <si>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</si>
  <si>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</si>
  <si>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</si>
  <si>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</si>
  <si>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</si>
  <si>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</si>
  <si>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</si>
  <si>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</si>
  <si>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</si>
  <si>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</si>
  <si>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</si>
  <si>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</si>
  <si>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</si>
  <si>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</si>
  <si>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</si>
  <si>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</si>
  <si>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</si>
  <si>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</si>
  <si>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</si>
  <si>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</si>
  <si>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</si>
  <si>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</si>
  <si>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</si>
  <si>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</si>
  <si>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</si>
  <si>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</si>
  <si>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</si>
  <si>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</si>
  <si>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</si>
  <si>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</si>
  <si>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</si>
  <si>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</si>
  <si>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</si>
  <si>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</si>
  <si>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</si>
  <si>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</si>
  <si>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</si>
  <si>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</si>
  <si>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</si>
  <si>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</si>
  <si>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</si>
  <si>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</si>
  <si>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</si>
  <si>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</si>
  <si>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</si>
  <si>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</si>
  <si>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</si>
  <si>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</si>
  <si>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</si>
  <si>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</si>
  <si>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</si>
  <si>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</si>
  <si>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</si>
  <si>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</si>
  <si>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</si>
  <si>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</si>
  <si>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</si>
  <si>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</si>
  <si>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</si>
  <si>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</si>
  <si>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</si>
  <si>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</si>
  <si>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</si>
  <si>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</si>
  <si>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</si>
  <si>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</si>
  <si>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</si>
  <si>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72039</t>
  </si>
  <si>
    <t>HOUTHALEN-HELCHTEREN</t>
  </si>
  <si>
    <t>Cultuurgrond (ha)</t>
  </si>
  <si>
    <t>Paarden&amp;pony's 200 - 600 kg</t>
  </si>
  <si>
    <t>Paarden&amp;pony's &lt; 200 kg</t>
  </si>
  <si>
    <t>vloeibaar gas (MWh)</t>
  </si>
  <si>
    <t>interne verbrandingsmotor</t>
  </si>
  <si>
    <t>WKK interne verbrandinsgmotor (gas)</t>
  </si>
  <si>
    <t>Inter-Energa</t>
  </si>
  <si>
    <t>stirlingmotor</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</si>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</sst>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FA5C3EC-16C2-499A-ACB0-9BAB07B4A54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267140.33566027891</c:v>
                </c:pt>
                <c:pt idx="1">
                  <c:v>108480.99583072512</c:v>
                </c:pt>
                <c:pt idx="2">
                  <c:v>1570.356</c:v>
                </c:pt>
                <c:pt idx="3">
                  <c:v>20999.553929140566</c:v>
                </c:pt>
                <c:pt idx="4">
                  <c:v>75065.931648438287</c:v>
                </c:pt>
                <c:pt idx="5">
                  <c:v>186658.92747880882</c:v>
                </c:pt>
                <c:pt idx="6">
                  <c:v>4297.7158990144035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267140.33566027891</c:v>
                </c:pt>
                <c:pt idx="1">
                  <c:v>108480.99583072512</c:v>
                </c:pt>
                <c:pt idx="2">
                  <c:v>1570.356</c:v>
                </c:pt>
                <c:pt idx="3">
                  <c:v>20999.553929140566</c:v>
                </c:pt>
                <c:pt idx="4">
                  <c:v>75065.931648438287</c:v>
                </c:pt>
                <c:pt idx="5">
                  <c:v>186658.92747880882</c:v>
                </c:pt>
                <c:pt idx="6">
                  <c:v>4297.7158990144035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54995.309704372041</c:v>
                </c:pt>
                <c:pt idx="2">
                  <c:v>19687.569554027254</c:v>
                </c:pt>
                <c:pt idx="3">
                  <c:v>248.87486568843627</c:v>
                </c:pt>
                <c:pt idx="4">
                  <c:v>520.94246065038158</c:v>
                </c:pt>
                <c:pt idx="5">
                  <c:v>14069.388004495748</c:v>
                </c:pt>
                <c:pt idx="6">
                  <c:v>47168.147099951915</c:v>
                </c:pt>
                <c:pt idx="7">
                  <c:v>1096.2029399205437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54995.309704372041</c:v>
                </c:pt>
                <c:pt idx="2">
                  <c:v>19687.569554027254</c:v>
                </c:pt>
                <c:pt idx="3">
                  <c:v>248.87486568843627</c:v>
                </c:pt>
                <c:pt idx="4">
                  <c:v>520.94246065038158</c:v>
                </c:pt>
                <c:pt idx="5">
                  <c:v>14069.388004495748</c:v>
                </c:pt>
                <c:pt idx="6">
                  <c:v>47168.147099951915</c:v>
                </c:pt>
                <c:pt idx="7">
                  <c:v>1096.2029399205437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72039</v>
      </c>
      <c r="B6" s="385"/>
      <c r="C6" s="386"/>
    </row>
    <row r="7" spans="1:7" s="383" customFormat="1" ht="15.75" customHeight="1">
      <c r="A7" s="387" t="str">
        <f>txtMunicipality</f>
        <v>HOUTHALEN-HELCHTEREN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0.15848308643927636</v>
      </c>
      <c r="C17" s="498">
        <f ca="1">'EF ele_warmte'!B22</f>
        <v>5.5947822535355098E-3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0.15848308643927636</v>
      </c>
      <c r="C29" s="499">
        <f ca="1">'EF ele_warmte'!B22</f>
        <v>5.5947822535355098E-3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11480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2510</v>
      </c>
      <c r="C14" s="327"/>
      <c r="D14" s="327"/>
      <c r="E14" s="327"/>
      <c r="F14" s="327"/>
    </row>
    <row r="15" spans="1:6">
      <c r="A15" s="1258" t="s">
        <v>177</v>
      </c>
      <c r="B15" s="1259">
        <v>1158</v>
      </c>
      <c r="C15" s="327"/>
      <c r="D15" s="327"/>
      <c r="E15" s="327"/>
      <c r="F15" s="327"/>
    </row>
    <row r="16" spans="1:6">
      <c r="A16" s="1258" t="s">
        <v>6</v>
      </c>
      <c r="B16" s="1259">
        <v>301</v>
      </c>
      <c r="C16" s="327"/>
      <c r="D16" s="327"/>
      <c r="E16" s="327"/>
      <c r="F16" s="327"/>
    </row>
    <row r="17" spans="1:6">
      <c r="A17" s="1258" t="s">
        <v>7</v>
      </c>
      <c r="B17" s="1259">
        <v>24</v>
      </c>
      <c r="C17" s="327"/>
      <c r="D17" s="327"/>
      <c r="E17" s="327"/>
      <c r="F17" s="327"/>
    </row>
    <row r="18" spans="1:6">
      <c r="A18" s="1258" t="s">
        <v>8</v>
      </c>
      <c r="B18" s="1259">
        <v>151</v>
      </c>
      <c r="C18" s="327"/>
      <c r="D18" s="327"/>
      <c r="E18" s="327"/>
      <c r="F18" s="327"/>
    </row>
    <row r="19" spans="1:6">
      <c r="A19" s="1258" t="s">
        <v>9</v>
      </c>
      <c r="B19" s="1259">
        <v>140</v>
      </c>
      <c r="C19" s="327"/>
      <c r="D19" s="327"/>
      <c r="E19" s="327"/>
      <c r="F19" s="327"/>
    </row>
    <row r="20" spans="1:6">
      <c r="A20" s="1258" t="s">
        <v>10</v>
      </c>
      <c r="B20" s="1259">
        <v>123</v>
      </c>
      <c r="C20" s="327"/>
      <c r="D20" s="327"/>
      <c r="E20" s="327"/>
      <c r="F20" s="327"/>
    </row>
    <row r="21" spans="1:6">
      <c r="A21" s="1258" t="s">
        <v>11</v>
      </c>
      <c r="B21" s="1259">
        <v>0</v>
      </c>
      <c r="C21" s="327"/>
      <c r="D21" s="327"/>
      <c r="E21" s="327"/>
      <c r="F21" s="327"/>
    </row>
    <row r="22" spans="1:6">
      <c r="A22" s="1258" t="s">
        <v>12</v>
      </c>
      <c r="B22" s="1259">
        <v>2887</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947</v>
      </c>
      <c r="C26" s="327"/>
      <c r="D26" s="327"/>
      <c r="E26" s="327"/>
      <c r="F26" s="327"/>
    </row>
    <row r="27" spans="1:6">
      <c r="A27" s="1258" t="s">
        <v>17</v>
      </c>
      <c r="B27" s="1259">
        <v>2</v>
      </c>
      <c r="C27" s="327"/>
      <c r="D27" s="327"/>
      <c r="E27" s="327"/>
      <c r="F27" s="327"/>
    </row>
    <row r="28" spans="1:6">
      <c r="A28" s="1258" t="s">
        <v>18</v>
      </c>
      <c r="B28" s="1260">
        <v>27800</v>
      </c>
      <c r="C28" s="327"/>
      <c r="D28" s="327"/>
      <c r="E28" s="327"/>
      <c r="F28" s="327"/>
    </row>
    <row r="29" spans="1:6">
      <c r="A29" s="1258" t="s">
        <v>905</v>
      </c>
      <c r="B29" s="1260">
        <v>72</v>
      </c>
      <c r="C29" s="327"/>
      <c r="D29" s="327"/>
      <c r="E29" s="327"/>
      <c r="F29" s="327"/>
    </row>
    <row r="30" spans="1:6">
      <c r="A30" s="1253" t="s">
        <v>906</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13890</v>
      </c>
    </row>
    <row r="37" spans="1:6">
      <c r="A37" s="1258" t="s">
        <v>24</v>
      </c>
      <c r="B37" s="1258" t="s">
        <v>27</v>
      </c>
      <c r="C37" s="1259">
        <v>0</v>
      </c>
      <c r="D37" s="1259">
        <v>0</v>
      </c>
      <c r="E37" s="1259">
        <v>4</v>
      </c>
      <c r="F37" s="1259">
        <v>195277</v>
      </c>
    </row>
    <row r="38" spans="1:6">
      <c r="A38" s="1258" t="s">
        <v>24</v>
      </c>
      <c r="B38" s="1258" t="s">
        <v>28</v>
      </c>
      <c r="C38" s="1259">
        <v>2</v>
      </c>
      <c r="D38" s="1259">
        <v>196220</v>
      </c>
      <c r="E38" s="1259">
        <v>2</v>
      </c>
      <c r="F38" s="1259">
        <v>31052</v>
      </c>
    </row>
    <row r="39" spans="1:6">
      <c r="A39" s="1258" t="s">
        <v>29</v>
      </c>
      <c r="B39" s="1258" t="s">
        <v>30</v>
      </c>
      <c r="C39" s="1259">
        <v>5788</v>
      </c>
      <c r="D39" s="1259">
        <v>96369218</v>
      </c>
      <c r="E39" s="1259">
        <v>11655</v>
      </c>
      <c r="F39" s="1259">
        <v>42873744</v>
      </c>
    </row>
    <row r="40" spans="1:6">
      <c r="A40" s="1258" t="s">
        <v>29</v>
      </c>
      <c r="B40" s="1258" t="s">
        <v>28</v>
      </c>
      <c r="C40" s="1259">
        <v>0</v>
      </c>
      <c r="D40" s="1259">
        <v>0</v>
      </c>
      <c r="E40" s="1259">
        <v>0</v>
      </c>
      <c r="F40" s="1259">
        <v>0</v>
      </c>
    </row>
    <row r="41" spans="1:6">
      <c r="A41" s="1258" t="s">
        <v>31</v>
      </c>
      <c r="B41" s="1258" t="s">
        <v>32</v>
      </c>
      <c r="C41" s="1259">
        <v>76</v>
      </c>
      <c r="D41" s="1259">
        <v>8806796</v>
      </c>
      <c r="E41" s="1259">
        <v>169</v>
      </c>
      <c r="F41" s="1259">
        <v>6110469</v>
      </c>
    </row>
    <row r="42" spans="1:6">
      <c r="A42" s="1258" t="s">
        <v>31</v>
      </c>
      <c r="B42" s="1258" t="s">
        <v>33</v>
      </c>
      <c r="C42" s="1259">
        <v>0</v>
      </c>
      <c r="D42" s="1259">
        <v>0</v>
      </c>
      <c r="E42" s="1259">
        <v>4</v>
      </c>
      <c r="F42" s="1259">
        <v>3413387</v>
      </c>
    </row>
    <row r="43" spans="1:6">
      <c r="A43" s="1258" t="s">
        <v>31</v>
      </c>
      <c r="B43" s="1258" t="s">
        <v>34</v>
      </c>
      <c r="C43" s="1259">
        <v>0</v>
      </c>
      <c r="D43" s="1259">
        <v>0</v>
      </c>
      <c r="E43" s="1259">
        <v>0</v>
      </c>
      <c r="F43" s="1259">
        <v>0</v>
      </c>
    </row>
    <row r="44" spans="1:6">
      <c r="A44" s="1258" t="s">
        <v>31</v>
      </c>
      <c r="B44" s="1258" t="s">
        <v>35</v>
      </c>
      <c r="C44" s="1259">
        <v>22</v>
      </c>
      <c r="D44" s="1259">
        <v>11979958</v>
      </c>
      <c r="E44" s="1259">
        <v>34</v>
      </c>
      <c r="F44" s="1259">
        <v>12040137</v>
      </c>
    </row>
    <row r="45" spans="1:6">
      <c r="A45" s="1258" t="s">
        <v>31</v>
      </c>
      <c r="B45" s="1258" t="s">
        <v>36</v>
      </c>
      <c r="C45" s="1259">
        <v>5</v>
      </c>
      <c r="D45" s="1259">
        <v>6570460</v>
      </c>
      <c r="E45" s="1259">
        <v>16</v>
      </c>
      <c r="F45" s="1259">
        <v>4262193</v>
      </c>
    </row>
    <row r="46" spans="1:6">
      <c r="A46" s="1258" t="s">
        <v>31</v>
      </c>
      <c r="B46" s="1258" t="s">
        <v>37</v>
      </c>
      <c r="C46" s="1259">
        <v>0</v>
      </c>
      <c r="D46" s="1259">
        <v>0</v>
      </c>
      <c r="E46" s="1259">
        <v>0</v>
      </c>
      <c r="F46" s="1259">
        <v>0</v>
      </c>
    </row>
    <row r="47" spans="1:6">
      <c r="A47" s="1258" t="s">
        <v>31</v>
      </c>
      <c r="B47" s="1258" t="s">
        <v>38</v>
      </c>
      <c r="C47" s="1259">
        <v>7</v>
      </c>
      <c r="D47" s="1259">
        <v>303496</v>
      </c>
      <c r="E47" s="1259">
        <v>9</v>
      </c>
      <c r="F47" s="1259">
        <v>2094065</v>
      </c>
    </row>
    <row r="48" spans="1:6">
      <c r="A48" s="1258" t="s">
        <v>31</v>
      </c>
      <c r="B48" s="1258" t="s">
        <v>28</v>
      </c>
      <c r="C48" s="1259">
        <v>2</v>
      </c>
      <c r="D48" s="1259">
        <v>1257454</v>
      </c>
      <c r="E48" s="1259">
        <v>0</v>
      </c>
      <c r="F48" s="1259">
        <v>0</v>
      </c>
    </row>
    <row r="49" spans="1:6">
      <c r="A49" s="1258" t="s">
        <v>31</v>
      </c>
      <c r="B49" s="1258" t="s">
        <v>39</v>
      </c>
      <c r="C49" s="1259">
        <v>3</v>
      </c>
      <c r="D49" s="1259">
        <v>660109</v>
      </c>
      <c r="E49" s="1259">
        <v>4</v>
      </c>
      <c r="F49" s="1259">
        <v>3536239</v>
      </c>
    </row>
    <row r="50" spans="1:6">
      <c r="A50" s="1258" t="s">
        <v>31</v>
      </c>
      <c r="B50" s="1258" t="s">
        <v>40</v>
      </c>
      <c r="C50" s="1259">
        <v>6</v>
      </c>
      <c r="D50" s="1259">
        <v>3048263</v>
      </c>
      <c r="E50" s="1259">
        <v>12</v>
      </c>
      <c r="F50" s="1259">
        <v>618968</v>
      </c>
    </row>
    <row r="51" spans="1:6">
      <c r="A51" s="1258" t="s">
        <v>41</v>
      </c>
      <c r="B51" s="1258" t="s">
        <v>42</v>
      </c>
      <c r="C51" s="1259">
        <v>0</v>
      </c>
      <c r="D51" s="1259">
        <v>0</v>
      </c>
      <c r="E51" s="1259">
        <v>16</v>
      </c>
      <c r="F51" s="1259">
        <v>349094</v>
      </c>
    </row>
    <row r="52" spans="1:6">
      <c r="A52" s="1258" t="s">
        <v>41</v>
      </c>
      <c r="B52" s="1258" t="s">
        <v>28</v>
      </c>
      <c r="C52" s="1259">
        <v>2</v>
      </c>
      <c r="D52" s="1259">
        <v>101165</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150</v>
      </c>
      <c r="F54" s="1259">
        <v>1570356</v>
      </c>
    </row>
    <row r="55" spans="1:6">
      <c r="A55" s="1258" t="s">
        <v>45</v>
      </c>
      <c r="B55" s="1258" t="s">
        <v>28</v>
      </c>
      <c r="C55" s="1259">
        <v>0</v>
      </c>
      <c r="D55" s="1259">
        <v>0</v>
      </c>
      <c r="E55" s="1259">
        <v>0</v>
      </c>
      <c r="F55" s="1259">
        <v>0</v>
      </c>
    </row>
    <row r="56" spans="1:6">
      <c r="A56" s="1258" t="s">
        <v>47</v>
      </c>
      <c r="B56" s="1258" t="s">
        <v>28</v>
      </c>
      <c r="C56" s="1259">
        <v>170</v>
      </c>
      <c r="D56" s="1259">
        <v>11002258</v>
      </c>
      <c r="E56" s="1259">
        <v>186</v>
      </c>
      <c r="F56" s="1259">
        <v>1337800</v>
      </c>
    </row>
    <row r="57" spans="1:6">
      <c r="A57" s="1258" t="s">
        <v>48</v>
      </c>
      <c r="B57" s="1258" t="s">
        <v>49</v>
      </c>
      <c r="C57" s="1259">
        <v>60</v>
      </c>
      <c r="D57" s="1259">
        <v>16765089</v>
      </c>
      <c r="E57" s="1259">
        <v>137</v>
      </c>
      <c r="F57" s="1259">
        <v>19205971</v>
      </c>
    </row>
    <row r="58" spans="1:6">
      <c r="A58" s="1258" t="s">
        <v>48</v>
      </c>
      <c r="B58" s="1258" t="s">
        <v>50</v>
      </c>
      <c r="C58" s="1259">
        <v>11</v>
      </c>
      <c r="D58" s="1259">
        <v>774333</v>
      </c>
      <c r="E58" s="1259">
        <v>72</v>
      </c>
      <c r="F58" s="1259">
        <v>788677</v>
      </c>
    </row>
    <row r="59" spans="1:6">
      <c r="A59" s="1258" t="s">
        <v>48</v>
      </c>
      <c r="B59" s="1258" t="s">
        <v>51</v>
      </c>
      <c r="C59" s="1259">
        <v>112</v>
      </c>
      <c r="D59" s="1259">
        <v>6089956</v>
      </c>
      <c r="E59" s="1259">
        <v>311</v>
      </c>
      <c r="F59" s="1259">
        <v>11866341</v>
      </c>
    </row>
    <row r="60" spans="1:6">
      <c r="A60" s="1258" t="s">
        <v>48</v>
      </c>
      <c r="B60" s="1258" t="s">
        <v>52</v>
      </c>
      <c r="C60" s="1259">
        <v>46</v>
      </c>
      <c r="D60" s="1259">
        <v>8159426</v>
      </c>
      <c r="E60" s="1259">
        <v>118</v>
      </c>
      <c r="F60" s="1259">
        <v>5680656</v>
      </c>
    </row>
    <row r="61" spans="1:6">
      <c r="A61" s="1258" t="s">
        <v>48</v>
      </c>
      <c r="B61" s="1258" t="s">
        <v>53</v>
      </c>
      <c r="C61" s="1259">
        <v>107</v>
      </c>
      <c r="D61" s="1259">
        <v>7836814</v>
      </c>
      <c r="E61" s="1259">
        <v>441</v>
      </c>
      <c r="F61" s="1259">
        <v>8967911</v>
      </c>
    </row>
    <row r="62" spans="1:6">
      <c r="A62" s="1258" t="s">
        <v>48</v>
      </c>
      <c r="B62" s="1258" t="s">
        <v>54</v>
      </c>
      <c r="C62" s="1259">
        <v>19</v>
      </c>
      <c r="D62" s="1259">
        <v>3613955</v>
      </c>
      <c r="E62" s="1259">
        <v>28</v>
      </c>
      <c r="F62" s="1259">
        <v>1086408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184066</v>
      </c>
      <c r="E68" s="1261">
        <v>11</v>
      </c>
      <c r="F68" s="1261">
        <v>385162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118942815</v>
      </c>
      <c r="E73" s="446"/>
      <c r="F73" s="327"/>
    </row>
    <row r="74" spans="1:6">
      <c r="A74" s="1258" t="s">
        <v>63</v>
      </c>
      <c r="B74" s="1258" t="s">
        <v>681</v>
      </c>
      <c r="C74" s="1271" t="s">
        <v>682</v>
      </c>
      <c r="D74" s="1259">
        <v>9183640.8773661274</v>
      </c>
      <c r="E74" s="446"/>
      <c r="F74" s="327"/>
    </row>
    <row r="75" spans="1:6">
      <c r="A75" s="1258" t="s">
        <v>64</v>
      </c>
      <c r="B75" s="1258" t="s">
        <v>679</v>
      </c>
      <c r="C75" s="1271" t="s">
        <v>683</v>
      </c>
      <c r="D75" s="1259">
        <v>42153727</v>
      </c>
      <c r="E75" s="446"/>
      <c r="F75" s="327"/>
    </row>
    <row r="76" spans="1:6">
      <c r="A76" s="1258" t="s">
        <v>64</v>
      </c>
      <c r="B76" s="1258" t="s">
        <v>681</v>
      </c>
      <c r="C76" s="1271" t="s">
        <v>684</v>
      </c>
      <c r="D76" s="1259">
        <v>372069.87736612733</v>
      </c>
      <c r="E76" s="446"/>
      <c r="F76" s="327"/>
    </row>
    <row r="77" spans="1:6">
      <c r="A77" s="1258" t="s">
        <v>65</v>
      </c>
      <c r="B77" s="1258" t="s">
        <v>679</v>
      </c>
      <c r="C77" s="1271" t="s">
        <v>685</v>
      </c>
      <c r="D77" s="1259">
        <v>42859417</v>
      </c>
      <c r="E77" s="446"/>
      <c r="F77" s="327"/>
    </row>
    <row r="78" spans="1:6">
      <c r="A78" s="1253" t="s">
        <v>65</v>
      </c>
      <c r="B78" s="1253" t="s">
        <v>681</v>
      </c>
      <c r="C78" s="1253" t="s">
        <v>686</v>
      </c>
      <c r="D78" s="1261">
        <v>7546408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1137478.2452677453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7481.933832710909</v>
      </c>
      <c r="C91" s="327"/>
      <c r="D91" s="327"/>
      <c r="E91" s="327"/>
      <c r="F91" s="327"/>
    </row>
    <row r="92" spans="1:6">
      <c r="A92" s="1253" t="s">
        <v>68</v>
      </c>
      <c r="B92" s="1254">
        <v>6573.5050570845851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2539</v>
      </c>
      <c r="C97" s="327"/>
      <c r="D97" s="327"/>
      <c r="E97" s="327"/>
      <c r="F97" s="327"/>
    </row>
    <row r="98" spans="1:6">
      <c r="A98" s="1258" t="s">
        <v>71</v>
      </c>
      <c r="B98" s="1259">
        <v>4</v>
      </c>
      <c r="C98" s="327"/>
      <c r="D98" s="327"/>
      <c r="E98" s="327"/>
      <c r="F98" s="327"/>
    </row>
    <row r="99" spans="1:6">
      <c r="A99" s="1258" t="s">
        <v>72</v>
      </c>
      <c r="B99" s="1259">
        <v>32</v>
      </c>
      <c r="C99" s="327"/>
      <c r="D99" s="327"/>
      <c r="E99" s="327"/>
      <c r="F99" s="327"/>
    </row>
    <row r="100" spans="1:6">
      <c r="A100" s="1258" t="s">
        <v>73</v>
      </c>
      <c r="B100" s="1259">
        <v>215</v>
      </c>
      <c r="C100" s="327"/>
      <c r="D100" s="327"/>
      <c r="E100" s="327"/>
      <c r="F100" s="327"/>
    </row>
    <row r="101" spans="1:6">
      <c r="A101" s="1258" t="s">
        <v>74</v>
      </c>
      <c r="B101" s="1259">
        <v>70</v>
      </c>
      <c r="C101" s="327"/>
      <c r="D101" s="327"/>
      <c r="E101" s="327"/>
      <c r="F101" s="327"/>
    </row>
    <row r="102" spans="1:6">
      <c r="A102" s="1258" t="s">
        <v>75</v>
      </c>
      <c r="B102" s="1259">
        <v>101</v>
      </c>
      <c r="C102" s="327"/>
      <c r="D102" s="327"/>
      <c r="E102" s="327"/>
      <c r="F102" s="327"/>
    </row>
    <row r="103" spans="1:6">
      <c r="A103" s="1258" t="s">
        <v>76</v>
      </c>
      <c r="B103" s="1259">
        <v>138</v>
      </c>
      <c r="C103" s="327"/>
      <c r="D103" s="327"/>
      <c r="E103" s="327"/>
      <c r="F103" s="327"/>
    </row>
    <row r="104" spans="1:6">
      <c r="A104" s="1258" t="s">
        <v>77</v>
      </c>
      <c r="B104" s="1259">
        <v>6792</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13</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306</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147968.38766371427</v>
      </c>
      <c r="C3" s="43" t="s">
        <v>163</v>
      </c>
      <c r="D3" s="43"/>
      <c r="E3" s="156"/>
      <c r="F3" s="43"/>
      <c r="G3" s="43"/>
      <c r="H3" s="43"/>
      <c r="I3" s="43"/>
      <c r="J3" s="43"/>
      <c r="K3" s="96"/>
    </row>
    <row r="4" spans="1:11">
      <c r="A4" s="353" t="s">
        <v>164</v>
      </c>
      <c r="B4" s="49">
        <f>IF(ISERROR('SEAP template'!B78+'SEAP template'!C78),0,'SEAP template'!B78+'SEAP template'!C78)</f>
        <v>42207.438889795492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77.317093352733977</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0.15848308643927636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110.54290664726608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19758.214285714286</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5.5947822535355098E-3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1570.356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1570.356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0.15848308643927636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248.87486568843627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42873.743999999999</v>
      </c>
      <c r="C5" s="17">
        <f>IF(ISERROR('Eigen informatie GS &amp; warmtenet'!B57),0,'Eigen informatie GS &amp; warmtenet'!B57)</f>
        <v>0</v>
      </c>
      <c r="D5" s="30">
        <f>(SUM(HH_hh_gas_kWh,HH_rest_gas_kWh)/1000)*0.902</f>
        <v>86925.034635999997</v>
      </c>
      <c r="E5" s="17">
        <f>B32*B41</f>
        <v>3419.2277353427189</v>
      </c>
      <c r="F5" s="17">
        <f>B36*B45</f>
        <v>104783.8504120306</v>
      </c>
      <c r="G5" s="18"/>
      <c r="H5" s="17"/>
      <c r="I5" s="17"/>
      <c r="J5" s="17">
        <f>B35*B44+C35*C44</f>
        <v>1984.3974838847387</v>
      </c>
      <c r="K5" s="17"/>
      <c r="L5" s="17"/>
      <c r="M5" s="17"/>
      <c r="N5" s="17">
        <f>B34*B43+C34*C43</f>
        <v>18657.080893643288</v>
      </c>
      <c r="O5" s="17">
        <f>B52*B53*B54</f>
        <v>500.26666666666665</v>
      </c>
      <c r="P5" s="17">
        <f>B60*B61*B62/1000-B60*B61*B62/1000/B63</f>
        <v>514.79999999999995</v>
      </c>
    </row>
    <row r="6" spans="1:16">
      <c r="A6" s="16" t="s">
        <v>592</v>
      </c>
      <c r="B6" s="733">
        <f>kWh_PV_kleiner_dan_10kW</f>
        <v>7481.933832710909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50355.677832710906</v>
      </c>
      <c r="C8" s="21">
        <f>C5</f>
        <v>0</v>
      </c>
      <c r="D8" s="21">
        <f>D5</f>
        <v>86925.034635999997</v>
      </c>
      <c r="E8" s="21">
        <f>E5</f>
        <v>3419.2277353427189</v>
      </c>
      <c r="F8" s="21">
        <f>F5</f>
        <v>104783.8504120306</v>
      </c>
      <c r="G8" s="21"/>
      <c r="H8" s="21"/>
      <c r="I8" s="21"/>
      <c r="J8" s="21">
        <f>J5</f>
        <v>1984.3974838847387</v>
      </c>
      <c r="K8" s="21"/>
      <c r="L8" s="21">
        <f>L5</f>
        <v>0</v>
      </c>
      <c r="M8" s="21">
        <f>M5</f>
        <v>0</v>
      </c>
      <c r="N8" s="21">
        <f>N5</f>
        <v>18657.080893643288</v>
      </c>
      <c r="O8" s="21">
        <f>O5</f>
        <v>500.26666666666665</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0.15848308643927636</v>
      </c>
      <c r="C10" s="25">
        <f ca="1">'EF ele_warmte'!B22</f>
        <v>5.5947822535355098E-3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7980.5232426698749</v>
      </c>
      <c r="C12" s="23">
        <f ca="1">C10*C8</f>
        <v>0</v>
      </c>
      <c r="D12" s="23">
        <f>D8*D10</f>
        <v>17558.856996472001</v>
      </c>
      <c r="E12" s="23">
        <f>E10*E8</f>
        <v>776.16469592279725</v>
      </c>
      <c r="F12" s="23">
        <f>F10*F8</f>
        <v>27977.288060012172</v>
      </c>
      <c r="G12" s="23"/>
      <c r="H12" s="23"/>
      <c r="I12" s="23"/>
      <c r="J12" s="23">
        <f>J10*J8</f>
        <v>702.47670929519745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11480</v>
      </c>
      <c r="C26" s="36"/>
      <c r="D26" s="227"/>
    </row>
    <row r="27" spans="1:5" s="15" customFormat="1">
      <c r="A27" s="229" t="s">
        <v>697</v>
      </c>
      <c r="B27" s="37">
        <f>SUM(HH_hh_gas_aantal,HH_rest_gas_aantal)</f>
        <v>5788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5498.6</v>
      </c>
      <c r="C31" s="34" t="s">
        <v>104</v>
      </c>
      <c r="D31" s="173"/>
    </row>
    <row r="32" spans="1:5">
      <c r="A32" s="170" t="s">
        <v>72</v>
      </c>
      <c r="B32" s="33">
        <f>IF((B21*($B$26-($B$27-0.05*$B$27)-$B$60))&lt;0,0,B21*($B$26-($B$27-0.05*$B$27)-$B$60))</f>
        <v>149.10747710986075</v>
      </c>
      <c r="C32" s="34" t="s">
        <v>104</v>
      </c>
      <c r="D32" s="173"/>
    </row>
    <row r="33" spans="1:6">
      <c r="A33" s="170" t="s">
        <v>73</v>
      </c>
      <c r="B33" s="33">
        <f>IF((B22*($B$26-($B$27-0.05*$B$27)-$B$60))&lt;0,0,B22*($B$26-($B$27-0.05*$B$27)-$B$60))</f>
        <v>1003.6682000891833</v>
      </c>
      <c r="C33" s="34" t="s">
        <v>104</v>
      </c>
      <c r="D33" s="173"/>
    </row>
    <row r="34" spans="1:6">
      <c r="A34" s="170" t="s">
        <v>74</v>
      </c>
      <c r="B34" s="33">
        <f>IF((B24*($B$26-($B$27-0.05*$B$27)-$B$60))&lt;0,0,B24*($B$26-($B$27-0.05*$B$27)-$B$60))</f>
        <v>254.64422660114104</v>
      </c>
      <c r="C34" s="33">
        <f>B26*C24</f>
        <v>2348.3495763783817</v>
      </c>
      <c r="D34" s="232"/>
    </row>
    <row r="35" spans="1:6">
      <c r="A35" s="170" t="s">
        <v>76</v>
      </c>
      <c r="B35" s="33">
        <f>IF((B19*($B$26-($B$27-0.05*$B$27)-$B$60))&lt;0,0,B19*($B$26-($B$27-0.05*$B$27)-$B$60))</f>
        <v>94.634159083408548</v>
      </c>
      <c r="C35" s="33">
        <f>B35/2</f>
        <v>47.317079541704274</v>
      </c>
      <c r="D35" s="232"/>
    </row>
    <row r="36" spans="1:6">
      <c r="A36" s="170" t="s">
        <v>77</v>
      </c>
      <c r="B36" s="33">
        <f>IF((B18*($B$26-($B$27-0.05*$B$27)-$B$60))&lt;0,0,B18*($B$26-($B$27-0.05*$B$27)-$B$60))</f>
        <v>4452.3459371164063</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320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47595.964</v>
      </c>
      <c r="C5" s="17">
        <f>IF(ISERROR('Eigen informatie GS &amp; warmtenet'!B58),0,'Eigen informatie GS &amp; warmtenet'!B58)</f>
        <v>0</v>
      </c>
      <c r="D5" s="30">
        <f>SUM(D6:D12)</f>
        <v>39002.094846</v>
      </c>
      <c r="E5" s="17">
        <f>SUM(E6:E12)</f>
        <v>214.76969509271214</v>
      </c>
      <c r="F5" s="17">
        <f>SUM(F6:F12)</f>
        <v>7244.1889579802255</v>
      </c>
      <c r="G5" s="18"/>
      <c r="H5" s="17"/>
      <c r="I5" s="17"/>
      <c r="J5" s="17">
        <f>SUM(J6:J12)</f>
        <v>32.714998318854263</v>
      </c>
      <c r="K5" s="17"/>
      <c r="L5" s="17"/>
      <c r="M5" s="17"/>
      <c r="N5" s="17">
        <f>SUM(N6:N12)</f>
        <v>11527.592515845112</v>
      </c>
      <c r="O5" s="17">
        <f>B38*B39*B40</f>
        <v>1.5633333333333335</v>
      </c>
      <c r="P5" s="17">
        <f>B46*B47*B48/1000-B46*B47*B48/1000/B49</f>
        <v>57.2</v>
      </c>
      <c r="R5" s="32"/>
    </row>
    <row r="6" spans="1:18">
      <c r="A6" s="32" t="s">
        <v>53</v>
      </c>
      <c r="B6" s="37">
        <f>B26</f>
        <v>8967.9110000000001</v>
      </c>
      <c r="C6" s="33"/>
      <c r="D6" s="37">
        <f>IF(ISERROR(TER_kantoor_gas_kWh/1000),0,TER_kantoor_gas_kWh/1000)*0.902</f>
        <v>7068.8062280000004</v>
      </c>
      <c r="E6" s="33">
        <f>$C$26*'E Balans VL '!I12/100/3.6*1000000</f>
        <v>75.69699057007432</v>
      </c>
      <c r="F6" s="33">
        <f>$C$26*('E Balans VL '!L12+'E Balans VL '!N12)/100/3.6*1000000</f>
        <v>1202.4975716210017</v>
      </c>
      <c r="G6" s="34"/>
      <c r="H6" s="33"/>
      <c r="I6" s="33"/>
      <c r="J6" s="33">
        <f>$C$26*('E Balans VL '!D12+'E Balans VL '!E12)/100/3.6*1000000</f>
        <v>0</v>
      </c>
      <c r="K6" s="33"/>
      <c r="L6" s="33"/>
      <c r="M6" s="33"/>
      <c r="N6" s="33">
        <f>$C$26*'E Balans VL '!Y12/100/3.6*1000000</f>
        <v>78.870003646409685</v>
      </c>
      <c r="O6" s="33"/>
      <c r="P6" s="33"/>
      <c r="R6" s="32"/>
    </row>
    <row r="7" spans="1:18">
      <c r="A7" s="32" t="s">
        <v>52</v>
      </c>
      <c r="B7" s="37">
        <f t="shared" ref="B7:B12" si="0">B27</f>
        <v>5680.6559999999999</v>
      </c>
      <c r="C7" s="33"/>
      <c r="D7" s="37">
        <f>IF(ISERROR(TER_horeca_gas_kWh/1000),0,TER_horeca_gas_kWh/1000)*0.902</f>
        <v>7359.8022520000004</v>
      </c>
      <c r="E7" s="33">
        <f>$C$27*'E Balans VL '!I9/100/3.6*1000000</f>
        <v>74.689285390365583</v>
      </c>
      <c r="F7" s="33">
        <f>$C$27*('E Balans VL '!L9+'E Balans VL '!N9)/100/3.6*1000000</f>
        <v>1426.6248811642256</v>
      </c>
      <c r="G7" s="34"/>
      <c r="H7" s="33"/>
      <c r="I7" s="33"/>
      <c r="J7" s="33">
        <f>$C$27*('E Balans VL '!D9+'E Balans VL '!E9)/100/3.6*1000000</f>
        <v>0</v>
      </c>
      <c r="K7" s="33"/>
      <c r="L7" s="33"/>
      <c r="M7" s="33"/>
      <c r="N7" s="33">
        <f>$C$27*'E Balans VL '!Y9/100/3.6*1000000</f>
        <v>1.5464888666486514</v>
      </c>
      <c r="O7" s="33"/>
      <c r="P7" s="33"/>
      <c r="R7" s="32"/>
    </row>
    <row r="8" spans="1:18">
      <c r="A8" s="6" t="s">
        <v>51</v>
      </c>
      <c r="B8" s="37">
        <f t="shared" si="0"/>
        <v>11866.341</v>
      </c>
      <c r="C8" s="33"/>
      <c r="D8" s="37">
        <f>IF(ISERROR(TER_handel_gas_kWh/1000),0,TER_handel_gas_kWh/1000)*0.902</f>
        <v>5493.1403120000004</v>
      </c>
      <c r="E8" s="33">
        <f>$C$28*'E Balans VL '!I13/100/3.6*1000000</f>
        <v>51.967072498524935</v>
      </c>
      <c r="F8" s="33">
        <f>$C$28*('E Balans VL '!L13+'E Balans VL '!N13)/100/3.6*1000000</f>
        <v>797.59162175305619</v>
      </c>
      <c r="G8" s="34"/>
      <c r="H8" s="33"/>
      <c r="I8" s="33"/>
      <c r="J8" s="33">
        <f>$C$28*('E Balans VL '!D13+'E Balans VL '!E13)/100/3.6*1000000</f>
        <v>0</v>
      </c>
      <c r="K8" s="33"/>
      <c r="L8" s="33"/>
      <c r="M8" s="33"/>
      <c r="N8" s="33">
        <f>$C$28*'E Balans VL '!Y13/100/3.6*1000000</f>
        <v>35.056200533951028</v>
      </c>
      <c r="O8" s="33"/>
      <c r="P8" s="33"/>
      <c r="R8" s="32"/>
    </row>
    <row r="9" spans="1:18">
      <c r="A9" s="32" t="s">
        <v>50</v>
      </c>
      <c r="B9" s="37">
        <f t="shared" si="0"/>
        <v>788.67700000000002</v>
      </c>
      <c r="C9" s="33"/>
      <c r="D9" s="37">
        <f>IF(ISERROR(TER_gezond_gas_kWh/1000),0,TER_gezond_gas_kWh/1000)*0.902</f>
        <v>698.44836599999996</v>
      </c>
      <c r="E9" s="33">
        <f>$C$29*'E Balans VL '!I10/100/3.6*1000000</f>
        <v>0.27122950233638632</v>
      </c>
      <c r="F9" s="33">
        <f>$C$29*('E Balans VL '!L10+'E Balans VL '!N10)/100/3.6*1000000</f>
        <v>68.933476243592565</v>
      </c>
      <c r="G9" s="34"/>
      <c r="H9" s="33"/>
      <c r="I9" s="33"/>
      <c r="J9" s="33">
        <f>$C$29*('E Balans VL '!D10+'E Balans VL '!E10)/100/3.6*1000000</f>
        <v>32.714998318854263</v>
      </c>
      <c r="K9" s="33"/>
      <c r="L9" s="33"/>
      <c r="M9" s="33"/>
      <c r="N9" s="33">
        <f>$C$29*'E Balans VL '!Y10/100/3.6*1000000</f>
        <v>8.2689868993085671</v>
      </c>
      <c r="O9" s="33"/>
      <c r="P9" s="33"/>
      <c r="R9" s="32"/>
    </row>
    <row r="10" spans="1:18">
      <c r="A10" s="32" t="s">
        <v>49</v>
      </c>
      <c r="B10" s="37">
        <f t="shared" si="0"/>
        <v>19205.971000000001</v>
      </c>
      <c r="C10" s="33"/>
      <c r="D10" s="37">
        <f>IF(ISERROR(TER_ander_gas_kWh/1000),0,TER_ander_gas_kWh/1000)*0.902</f>
        <v>15122.110278</v>
      </c>
      <c r="E10" s="33">
        <f>$C$30*'E Balans VL '!I14/100/3.6*1000000</f>
        <v>11.422491738687032</v>
      </c>
      <c r="F10" s="33">
        <f>$C$30*('E Balans VL '!L14+'E Balans VL '!N14)/100/3.6*1000000</f>
        <v>3400.4774524554368</v>
      </c>
      <c r="G10" s="34"/>
      <c r="H10" s="33"/>
      <c r="I10" s="33"/>
      <c r="J10" s="33">
        <f>$C$30*('E Balans VL '!D14+'E Balans VL '!E14)/100/3.6*1000000</f>
        <v>0</v>
      </c>
      <c r="K10" s="33"/>
      <c r="L10" s="33"/>
      <c r="M10" s="33"/>
      <c r="N10" s="33">
        <f>$C$30*'E Balans VL '!Y14/100/3.6*1000000</f>
        <v>11403.850835898795</v>
      </c>
      <c r="O10" s="33"/>
      <c r="P10" s="33"/>
      <c r="R10" s="32"/>
    </row>
    <row r="11" spans="1:18">
      <c r="A11" s="32" t="s">
        <v>54</v>
      </c>
      <c r="B11" s="37">
        <f t="shared" si="0"/>
        <v>1086.4079999999999</v>
      </c>
      <c r="C11" s="33"/>
      <c r="D11" s="37">
        <f>IF(ISERROR(TER_onderwijs_gas_kWh/1000),0,TER_onderwijs_gas_kWh/1000)*0.902</f>
        <v>3259.7874099999999</v>
      </c>
      <c r="E11" s="33">
        <f>$C$31*'E Balans VL '!I11/100/3.6*1000000</f>
        <v>0.72262539272388637</v>
      </c>
      <c r="F11" s="33">
        <f>$C$31*('E Balans VL '!L11+'E Balans VL '!N11)/100/3.6*1000000</f>
        <v>348.06395474291253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energieproductie'!N40+'lokale energieproductie'!N33</f>
        <v>14332.5</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-40950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61928.464</v>
      </c>
      <c r="C16" s="21">
        <f t="shared" ca="1" si="1"/>
        <v>0</v>
      </c>
      <c r="D16" s="21">
        <f t="shared" ca="1" si="1"/>
        <v>39002.094846</v>
      </c>
      <c r="E16" s="21">
        <f t="shared" si="1"/>
        <v>214.76969509271214</v>
      </c>
      <c r="F16" s="21">
        <f t="shared" ca="1" si="1"/>
        <v>7244.1889579802255</v>
      </c>
      <c r="G16" s="21">
        <f t="shared" si="1"/>
        <v>0</v>
      </c>
      <c r="H16" s="21">
        <f t="shared" si="1"/>
        <v>0</v>
      </c>
      <c r="I16" s="21">
        <f t="shared" si="1"/>
        <v>0</v>
      </c>
      <c r="J16" s="21">
        <f t="shared" si="1"/>
        <v>32.714998318854263</v>
      </c>
      <c r="K16" s="21">
        <f t="shared" si="1"/>
        <v>0</v>
      </c>
      <c r="L16" s="21">
        <f t="shared" ca="1" si="1"/>
        <v>0</v>
      </c>
      <c r="M16" s="21">
        <f t="shared" si="1"/>
        <v>0</v>
      </c>
      <c r="N16" s="21">
        <f t="shared" ca="1" si="1"/>
        <v>0</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0.15848308643927636</v>
      </c>
      <c r="C18" s="25">
        <f ca="1">'EF ele_warmte'!B22</f>
        <v>5.5947822535355098E-3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9814.6141131636141</v>
      </c>
      <c r="C20" s="23">
        <f t="shared" ref="C20:P20" ca="1" si="2">C16*C18</f>
        <v>0</v>
      </c>
      <c r="D20" s="23">
        <f t="shared" ca="1" si="2"/>
        <v>7878.4231588920002</v>
      </c>
      <c r="E20" s="23">
        <f t="shared" si="2"/>
        <v>48.752720786045657</v>
      </c>
      <c r="F20" s="23">
        <f t="shared" ca="1" si="2"/>
        <v>1934.1984517807202</v>
      </c>
      <c r="G20" s="23">
        <f t="shared" si="2"/>
        <v>0</v>
      </c>
      <c r="H20" s="23">
        <f t="shared" si="2"/>
        <v>0</v>
      </c>
      <c r="I20" s="23">
        <f t="shared" si="2"/>
        <v>0</v>
      </c>
      <c r="J20" s="23">
        <f t="shared" si="2"/>
        <v>11.581109404874409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8967.9110000000001</v>
      </c>
      <c r="C26" s="39">
        <f>IF(ISERROR(B26*3.6/1000000/'E Balans VL '!Z12*100),0,B26*3.6/1000000/'E Balans VL '!Z12*100)</f>
        <v>0.18795628126755398</v>
      </c>
      <c r="D26" s="235" t="s">
        <v>647</v>
      </c>
      <c r="F26" s="6"/>
    </row>
    <row r="27" spans="1:18">
      <c r="A27" s="230" t="s">
        <v>52</v>
      </c>
      <c r="B27" s="33">
        <f>IF(ISERROR(TER_horeca_ele_kWh/1000),0,TER_horeca_ele_kWh/1000)</f>
        <v>5680.6559999999999</v>
      </c>
      <c r="C27" s="39">
        <f>IF(ISERROR(B27*3.6/1000000/'E Balans VL '!Z9*100),0,B27*3.6/1000000/'E Balans VL '!Z9*100)</f>
        <v>0.43553491804632655</v>
      </c>
      <c r="D27" s="235" t="s">
        <v>647</v>
      </c>
      <c r="F27" s="6"/>
    </row>
    <row r="28" spans="1:18">
      <c r="A28" s="170" t="s">
        <v>51</v>
      </c>
      <c r="B28" s="33">
        <f>IF(ISERROR(TER_handel_ele_kWh/1000),0,TER_handel_ele_kWh/1000)</f>
        <v>11866.341</v>
      </c>
      <c r="C28" s="39">
        <f>IF(ISERROR(B28*3.6/1000000/'E Balans VL '!Z13*100),0,B28*3.6/1000000/'E Balans VL '!Z13*100)</f>
        <v>0.33476698506967068</v>
      </c>
      <c r="D28" s="235" t="s">
        <v>647</v>
      </c>
      <c r="F28" s="6"/>
    </row>
    <row r="29" spans="1:18">
      <c r="A29" s="230" t="s">
        <v>50</v>
      </c>
      <c r="B29" s="33">
        <f>IF(ISERROR(TER_gezond_ele_kWh/1000),0,TER_gezond_ele_kWh/1000)</f>
        <v>788.67700000000002</v>
      </c>
      <c r="C29" s="39">
        <f>IF(ISERROR(B29*3.6/1000000/'E Balans VL '!Z10*100),0,B29*3.6/1000000/'E Balans VL '!Z10*100)</f>
        <v>8.7572772050737505E-2</v>
      </c>
      <c r="D29" s="235" t="s">
        <v>647</v>
      </c>
      <c r="F29" s="6"/>
    </row>
    <row r="30" spans="1:18">
      <c r="A30" s="230" t="s">
        <v>49</v>
      </c>
      <c r="B30" s="33">
        <f>IF(ISERROR(TER_ander_ele_kWh/1000),0,TER_ander_ele_kWh/1000)</f>
        <v>19205.971000000001</v>
      </c>
      <c r="C30" s="39">
        <f>IF(ISERROR(B30*3.6/1000000/'E Balans VL '!Z14*100),0,B30*3.6/1000000/'E Balans VL '!Z14*100)</f>
        <v>1.3858150891011969</v>
      </c>
      <c r="D30" s="235" t="s">
        <v>647</v>
      </c>
      <c r="F30" s="6"/>
    </row>
    <row r="31" spans="1:18">
      <c r="A31" s="230" t="s">
        <v>54</v>
      </c>
      <c r="B31" s="33">
        <f>IF(ISERROR(TER_onderwijs_ele_kWh/1000),0,TER_onderwijs_ele_kWh/1000)</f>
        <v>1086.4079999999999</v>
      </c>
      <c r="C31" s="39">
        <f>IF(ISERROR(B31*3.6/1000000/'E Balans VL '!Z11*100),0,B31*3.6/1000000/'E Balans VL '!Z11*100)</f>
        <v>0.30114369204912883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32075.457999999999</v>
      </c>
      <c r="C5" s="17">
        <f>IF(ISERROR('Eigen informatie GS &amp; warmtenet'!B59),0,'Eigen informatie GS &amp; warmtenet'!B59)</f>
        <v>0</v>
      </c>
      <c r="D5" s="30">
        <f>SUM(D6:D15)</f>
        <v>29429.135471999998</v>
      </c>
      <c r="E5" s="17">
        <f>SUM(E6:E15)</f>
        <v>2122.2536372528043</v>
      </c>
      <c r="F5" s="17">
        <f>SUM(F6:F15)</f>
        <v>10039.671910065932</v>
      </c>
      <c r="G5" s="18"/>
      <c r="H5" s="17"/>
      <c r="I5" s="17"/>
      <c r="J5" s="17">
        <f>SUM(J6:J15)</f>
        <v>23.449877039302365</v>
      </c>
      <c r="K5" s="17"/>
      <c r="L5" s="17"/>
      <c r="M5" s="17"/>
      <c r="N5" s="17">
        <f>SUM(N6:N15)</f>
        <v>1510.9627520802574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12040.137000000001</v>
      </c>
      <c r="C8" s="33"/>
      <c r="D8" s="37">
        <f>IF( ISERROR(IND_metaal_Gas_kWH/1000),0,IND_metaal_Gas_kWH/1000)*0.902</f>
        <v>10805.922116000002</v>
      </c>
      <c r="E8" s="33">
        <f>C30*'E Balans VL '!I18/100/3.6*1000000</f>
        <v>345.83792777007005</v>
      </c>
      <c r="F8" s="33">
        <f>C30*'E Balans VL '!L18/100/3.6*1000000+C30*'E Balans VL '!N18/100/3.6*1000000</f>
        <v>3088.0635753869715</v>
      </c>
      <c r="G8" s="34"/>
      <c r="H8" s="33"/>
      <c r="I8" s="33"/>
      <c r="J8" s="40">
        <f>C30*'E Balans VL '!D18/100/3.6*1000000+C30*'E Balans VL '!E18/100/3.6*1000000</f>
        <v>0</v>
      </c>
      <c r="K8" s="33"/>
      <c r="L8" s="33"/>
      <c r="M8" s="33"/>
      <c r="N8" s="33">
        <f>C30*'E Balans VL '!Y18/100/3.6*1000000</f>
        <v>326.91429695168733</v>
      </c>
      <c r="O8" s="33"/>
      <c r="P8" s="33"/>
      <c r="R8" s="32"/>
    </row>
    <row r="9" spans="1:18">
      <c r="A9" s="6" t="s">
        <v>32</v>
      </c>
      <c r="B9" s="37">
        <f t="shared" si="0"/>
        <v>6110.4690000000001</v>
      </c>
      <c r="C9" s="33"/>
      <c r="D9" s="37">
        <f>IF( ISERROR(IND_andere_gas_kWh/1000),0,IND_andere_gas_kWh/1000)*0.902</f>
        <v>7943.7299920000005</v>
      </c>
      <c r="E9" s="33">
        <f>C31*'E Balans VL '!I19/100/3.6*1000000</f>
        <v>1653.9537199515541</v>
      </c>
      <c r="F9" s="33">
        <f>C31*'E Balans VL '!L19/100/3.6*1000000+C31*'E Balans VL '!N19/100/3.6*1000000</f>
        <v>4070.2189766933761</v>
      </c>
      <c r="G9" s="34"/>
      <c r="H9" s="33"/>
      <c r="I9" s="33"/>
      <c r="J9" s="40">
        <f>C31*'E Balans VL '!D19/100/3.6*1000000+C31*'E Balans VL '!E19/100/3.6*1000000</f>
        <v>0</v>
      </c>
      <c r="K9" s="33"/>
      <c r="L9" s="33"/>
      <c r="M9" s="33"/>
      <c r="N9" s="33">
        <f>C31*'E Balans VL '!Y19/100/3.6*1000000</f>
        <v>516.59967671512311</v>
      </c>
      <c r="O9" s="33"/>
      <c r="P9" s="33"/>
      <c r="R9" s="32"/>
    </row>
    <row r="10" spans="1:18">
      <c r="A10" s="6" t="s">
        <v>40</v>
      </c>
      <c r="B10" s="37">
        <f t="shared" si="0"/>
        <v>618.96799999999996</v>
      </c>
      <c r="C10" s="33"/>
      <c r="D10" s="37">
        <f>IF( ISERROR(IND_voed_gas_kWh/1000),0,IND_voed_gas_kWh/1000)*0.902</f>
        <v>2749.533226</v>
      </c>
      <c r="E10" s="33">
        <f>C32*'E Balans VL '!I20/100/3.6*1000000</f>
        <v>50.484452121976538</v>
      </c>
      <c r="F10" s="33">
        <f>C32*'E Balans VL '!L20/100/3.6*1000000+C32*'E Balans VL '!N20/100/3.6*1000000</f>
        <v>922.93744569756996</v>
      </c>
      <c r="G10" s="34"/>
      <c r="H10" s="33"/>
      <c r="I10" s="33"/>
      <c r="J10" s="40">
        <f>C32*'E Balans VL '!D20/100/3.6*1000000+C32*'E Balans VL '!E20/100/3.6*1000000</f>
        <v>8.1881953136388897E-3</v>
      </c>
      <c r="K10" s="33"/>
      <c r="L10" s="33"/>
      <c r="M10" s="33"/>
      <c r="N10" s="33">
        <f>C32*'E Balans VL '!Y20/100/3.6*1000000</f>
        <v>181.83095737435107</v>
      </c>
      <c r="O10" s="33"/>
      <c r="P10" s="33"/>
      <c r="R10" s="32"/>
    </row>
    <row r="11" spans="1:18">
      <c r="A11" s="6" t="s">
        <v>39</v>
      </c>
      <c r="B11" s="37">
        <f t="shared" si="0"/>
        <v>3536.239</v>
      </c>
      <c r="C11" s="33"/>
      <c r="D11" s="37">
        <f>IF( ISERROR(IND_textiel_gas_kWh/1000),0,IND_textiel_gas_kWh/1000)*0.902</f>
        <v>595.418318</v>
      </c>
      <c r="E11" s="33">
        <f>C33*'E Balans VL '!I21/100/3.6*1000000</f>
        <v>0.70095492022353523</v>
      </c>
      <c r="F11" s="33">
        <f>C33*'E Balans VL '!L21/100/3.6*1000000+C33*'E Balans VL '!N21/100/3.6*1000000</f>
        <v>130.24394885597346</v>
      </c>
      <c r="G11" s="34"/>
      <c r="H11" s="33"/>
      <c r="I11" s="33"/>
      <c r="J11" s="40">
        <f>C33*'E Balans VL '!D21/100/3.6*1000000+C33*'E Balans VL '!E21/100/3.6*1000000</f>
        <v>0</v>
      </c>
      <c r="K11" s="33"/>
      <c r="L11" s="33"/>
      <c r="M11" s="33"/>
      <c r="N11" s="33">
        <f>C33*'E Balans VL '!Y21/100/3.6*1000000</f>
        <v>16.442618655296602</v>
      </c>
      <c r="O11" s="33"/>
      <c r="P11" s="33"/>
      <c r="R11" s="32"/>
    </row>
    <row r="12" spans="1:18">
      <c r="A12" s="6" t="s">
        <v>36</v>
      </c>
      <c r="B12" s="37">
        <f t="shared" si="0"/>
        <v>4262.1930000000002</v>
      </c>
      <c r="C12" s="33"/>
      <c r="D12" s="37">
        <f>IF( ISERROR(IND_min_gas_kWh/1000),0,IND_min_gas_kWh/1000)*0.902</f>
        <v>5926.5549200000005</v>
      </c>
      <c r="E12" s="33">
        <f>C34*'E Balans VL '!I22/100/3.6*1000000</f>
        <v>33.201554777675604</v>
      </c>
      <c r="F12" s="33">
        <f>C34*'E Balans VL '!L22/100/3.6*1000000+C34*'E Balans VL '!N22/100/3.6*1000000</f>
        <v>1607.4372798405329</v>
      </c>
      <c r="G12" s="34"/>
      <c r="H12" s="33"/>
      <c r="I12" s="33"/>
      <c r="J12" s="40">
        <f>C34*'E Balans VL '!D22/100/3.6*1000000+C34*'E Balans VL '!E22/100/3.6*1000000</f>
        <v>23.441688843988725</v>
      </c>
      <c r="K12" s="33"/>
      <c r="L12" s="33"/>
      <c r="M12" s="33"/>
      <c r="N12" s="33">
        <f>C34*'E Balans VL '!Y22/100/3.6*1000000</f>
        <v>0</v>
      </c>
      <c r="O12" s="33"/>
      <c r="P12" s="33"/>
      <c r="R12" s="32"/>
    </row>
    <row r="13" spans="1:18">
      <c r="A13" s="6" t="s">
        <v>38</v>
      </c>
      <c r="B13" s="37">
        <f t="shared" si="0"/>
        <v>2094.0650000000001</v>
      </c>
      <c r="C13" s="33"/>
      <c r="D13" s="37">
        <f>IF( ISERROR(IND_papier_gas_kWh/1000),0,IND_papier_gas_kWh/1000)*0.902</f>
        <v>273.75339199999996</v>
      </c>
      <c r="E13" s="33">
        <f>C35*'E Balans VL '!I23/100/3.6*1000000</f>
        <v>21.939145795856088</v>
      </c>
      <c r="F13" s="33">
        <f>C35*'E Balans VL '!L23/100/3.6*1000000+C35*'E Balans VL '!N23/100/3.6*1000000</f>
        <v>156.25950146471411</v>
      </c>
      <c r="G13" s="34"/>
      <c r="H13" s="33"/>
      <c r="I13" s="33"/>
      <c r="J13" s="40">
        <f>C35*'E Balans VL '!D23/100/3.6*1000000+C35*'E Balans VL '!E23/100/3.6*1000000</f>
        <v>0</v>
      </c>
      <c r="K13" s="33"/>
      <c r="L13" s="33"/>
      <c r="M13" s="33"/>
      <c r="N13" s="33">
        <f>C35*'E Balans VL '!Y23/100/3.6*1000000</f>
        <v>386.30971361836703</v>
      </c>
      <c r="O13" s="33"/>
      <c r="P13" s="33"/>
      <c r="R13" s="32"/>
    </row>
    <row r="14" spans="1:18">
      <c r="A14" s="6" t="s">
        <v>33</v>
      </c>
      <c r="B14" s="37">
        <f t="shared" si="0"/>
        <v>3413.3870000000002</v>
      </c>
      <c r="C14" s="33"/>
      <c r="D14" s="37">
        <f>IF( ISERROR(IND_chemie_gas_kWh/1000),0,IND_chemie_gas_kWh/1000)*0.902</f>
        <v>0</v>
      </c>
      <c r="E14" s="33">
        <f>C36*'E Balans VL '!I24/100/3.6*1000000</f>
        <v>16.135881915449023</v>
      </c>
      <c r="F14" s="33">
        <f>C36*'E Balans VL '!L24/100/3.6*1000000+C36*'E Balans VL '!N24/100/3.6*1000000</f>
        <v>64.511182126795035</v>
      </c>
      <c r="G14" s="34"/>
      <c r="H14" s="33"/>
      <c r="I14" s="33"/>
      <c r="J14" s="40">
        <f>C36*'E Balans VL '!D24/100/3.6*1000000+C36*'E Balans VL '!E24/100/3.6*1000000</f>
        <v>0</v>
      </c>
      <c r="K14" s="33"/>
      <c r="L14" s="33"/>
      <c r="M14" s="33"/>
      <c r="N14" s="33">
        <f>C36*'E Balans VL '!Y24/100/3.6*1000000</f>
        <v>82.865488765431948</v>
      </c>
      <c r="O14" s="33"/>
      <c r="P14" s="33"/>
      <c r="R14" s="32"/>
    </row>
    <row r="15" spans="1:18">
      <c r="A15" s="6" t="s">
        <v>259</v>
      </c>
      <c r="B15" s="37">
        <f t="shared" si="0"/>
        <v>0</v>
      </c>
      <c r="C15" s="33"/>
      <c r="D15" s="37">
        <f>IF( ISERROR(IND_rest_gas_kWh/1000),0,IND_rest_gas_kWh/1000)*0.902</f>
        <v>1134.223508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energieproductie'!N39+'lokale energieproductie'!N32</f>
        <v>315.00000000000006</v>
      </c>
      <c r="C16" s="245">
        <f>'lokale energieproductie'!O39+'lokale energieproductie'!O32</f>
        <v>450.00000000000011</v>
      </c>
      <c r="D16" s="305">
        <f>('lokale energieproductie'!P32+'lokale energieproductie'!P39)*(-1)</f>
        <v>-900.00000000000023</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32390.457999999999</v>
      </c>
      <c r="C18" s="21">
        <f>C5+C16</f>
        <v>450.00000000000011</v>
      </c>
      <c r="D18" s="21">
        <f>MAX((D5+D16),0)</f>
        <v>28529.135471999998</v>
      </c>
      <c r="E18" s="21">
        <f>MAX((E5+E16),0)</f>
        <v>2122.2536372528043</v>
      </c>
      <c r="F18" s="21">
        <f>MAX((F5+F16),0)</f>
        <v>10039.671910065932</v>
      </c>
      <c r="G18" s="21"/>
      <c r="H18" s="21"/>
      <c r="I18" s="21"/>
      <c r="J18" s="21">
        <f>MAX((J5+J16),0)</f>
        <v>23.449877039302365</v>
      </c>
      <c r="K18" s="21"/>
      <c r="L18" s="21">
        <f>MAX((L5+L16),0)</f>
        <v>0</v>
      </c>
      <c r="M18" s="21"/>
      <c r="N18" s="21">
        <f>MAX((N5+N16),0)</f>
        <v>1510.9627520802574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0.15848308643927636</v>
      </c>
      <c r="C20" s="25">
        <f ca="1">'EF ele_warmte'!B22</f>
        <v>5.5947822535355098E-3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5133.3397550217505</v>
      </c>
      <c r="C22" s="23">
        <f ca="1">C18*C20</f>
        <v>2.5176520140909799</v>
      </c>
      <c r="D22" s="23">
        <f>D18*D20</f>
        <v>5762.8853653440001</v>
      </c>
      <c r="E22" s="23">
        <f>E18*E20</f>
        <v>481.75157565638659</v>
      </c>
      <c r="F22" s="23">
        <f>F18*F20</f>
        <v>2680.592399987604</v>
      </c>
      <c r="G22" s="23"/>
      <c r="H22" s="23"/>
      <c r="I22" s="23"/>
      <c r="J22" s="23">
        <f>J18*J20</f>
        <v>8.3012564719130371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12040.137000000001</v>
      </c>
      <c r="C30" s="39">
        <f>IF(ISERROR(B30*3.6/1000000/'E Balans VL '!Z18*100),0,B30*3.6/1000000/'E Balans VL '!Z18*100)</f>
        <v>1.1847187456043078</v>
      </c>
      <c r="D30" s="235" t="s">
        <v>647</v>
      </c>
    </row>
    <row r="31" spans="1:18">
      <c r="A31" s="6" t="s">
        <v>32</v>
      </c>
      <c r="B31" s="37">
        <f>IF( ISERROR(IND_ander_ele_kWh/1000),0,IND_ander_ele_kWh/1000)</f>
        <v>6110.4690000000001</v>
      </c>
      <c r="C31" s="39">
        <f>IF(ISERROR(B31*3.6/1000000/'E Balans VL '!Z19*100),0,B31*3.6/1000000/'E Balans VL '!Z19*100)</f>
        <v>0.26610605067689341</v>
      </c>
      <c r="D31" s="235" t="s">
        <v>647</v>
      </c>
    </row>
    <row r="32" spans="1:18">
      <c r="A32" s="170" t="s">
        <v>40</v>
      </c>
      <c r="B32" s="37">
        <f>IF( ISERROR(IND_voed_ele_kWh/1000),0,IND_voed_ele_kWh/1000)</f>
        <v>618.96799999999996</v>
      </c>
      <c r="C32" s="39">
        <f>IF(ISERROR(B32*3.6/1000000/'E Balans VL '!Z20*100),0,B32*3.6/1000000/'E Balans VL '!Z20*100)</f>
        <v>0.11744025151035396</v>
      </c>
      <c r="D32" s="235" t="s">
        <v>647</v>
      </c>
    </row>
    <row r="33" spans="1:5">
      <c r="A33" s="170" t="s">
        <v>39</v>
      </c>
      <c r="B33" s="37">
        <f>IF( ISERROR(IND_textiel_ele_kWh/1000),0,IND_textiel_ele_kWh/1000)</f>
        <v>3536.239</v>
      </c>
      <c r="C33" s="39">
        <f>IF(ISERROR(B33*3.6/1000000/'E Balans VL '!Z21*100),0,B33*3.6/1000000/'E Balans VL '!Z21*100)</f>
        <v>0.20190131372899842</v>
      </c>
      <c r="D33" s="235" t="s">
        <v>647</v>
      </c>
    </row>
    <row r="34" spans="1:5">
      <c r="A34" s="170" t="s">
        <v>36</v>
      </c>
      <c r="B34" s="37">
        <f>IF( ISERROR(IND_min_ele_kWh/1000),0,IND_min_ele_kWh/1000)</f>
        <v>4262.1930000000002</v>
      </c>
      <c r="C34" s="39">
        <f>IF(ISERROR(B34*3.6/1000000/'E Balans VL '!Z22*100),0,B34*3.6/1000000/'E Balans VL '!Z22*100)</f>
        <v>0.59930713540805813</v>
      </c>
      <c r="D34" s="235" t="s">
        <v>647</v>
      </c>
    </row>
    <row r="35" spans="1:5">
      <c r="A35" s="170" t="s">
        <v>38</v>
      </c>
      <c r="B35" s="37">
        <f>IF( ISERROR(IND_papier_ele_kWh/1000),0,IND_papier_ele_kWh/1000)</f>
        <v>2094.0650000000001</v>
      </c>
      <c r="C35" s="39">
        <f>IF(ISERROR(B35*3.6/1000000/'E Balans VL '!Z22*100),0,B35*3.6/1000000/'E Balans VL '!Z22*100)</f>
        <v>0.29444656694529669</v>
      </c>
      <c r="D35" s="235" t="s">
        <v>647</v>
      </c>
    </row>
    <row r="36" spans="1:5">
      <c r="A36" s="170" t="s">
        <v>33</v>
      </c>
      <c r="B36" s="37">
        <f>IF( ISERROR(IND_chemie_ele_kWh/1000),0,IND_chemie_ele_kWh/1000)</f>
        <v>3413.3870000000002</v>
      </c>
      <c r="C36" s="39">
        <f>IF(ISERROR(B36*3.6/1000000/'E Balans VL '!Z24*100),0,B36*3.6/1000000/'E Balans VL '!Z24*100)</f>
        <v>9.9476183542088079E-2</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349.09399999999999</v>
      </c>
      <c r="C5" s="17">
        <f>'Eigen informatie GS &amp; warmtenet'!B60</f>
        <v>0</v>
      </c>
      <c r="D5" s="30">
        <f>IF(ISERROR(SUM(LB_lb_gas_kWh,LB_rest_gas_kWh)/1000),0,SUM(LB_lb_gas_kWh,LB_rest_gas_kWh)/1000)*0.902</f>
        <v>91.250830000000008</v>
      </c>
      <c r="E5" s="17">
        <f>B17*'E Balans VL '!I25/3.6*1000000/100</f>
        <v>7.2488357273588067</v>
      </c>
      <c r="F5" s="17">
        <f>B17*('E Balans VL '!L25/3.6*1000000+'E Balans VL '!N25/3.6*1000000)/100</f>
        <v>1233.7071038592353</v>
      </c>
      <c r="G5" s="18"/>
      <c r="H5" s="17"/>
      <c r="I5" s="17"/>
      <c r="J5" s="17">
        <f>('E Balans VL '!D25+'E Balans VL '!E25)/3.6*1000000*landbouw!B17/100</f>
        <v>40.038873839682083</v>
      </c>
      <c r="K5" s="17"/>
      <c r="L5" s="17">
        <f>L6*(-1)</f>
        <v>0</v>
      </c>
      <c r="M5" s="17"/>
      <c r="N5" s="17">
        <f>N6*(-1)</f>
        <v>38571.428571428572</v>
      </c>
      <c r="O5" s="17"/>
      <c r="P5" s="17"/>
      <c r="R5" s="32"/>
    </row>
    <row r="6" spans="1:18">
      <c r="A6" s="16" t="s">
        <v>483</v>
      </c>
      <c r="B6" s="17" t="s">
        <v>204</v>
      </c>
      <c r="C6" s="17">
        <f>'lokale energieproductie'!O41+'lokale energieproductie'!O34</f>
        <v>19308.214285714286</v>
      </c>
      <c r="D6" s="305">
        <f>('lokale energieproductie'!P34+'lokale energieproductie'!P41)*(-1)</f>
        <v>-30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-38571.428571428572</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349.09399999999999</v>
      </c>
      <c r="C8" s="21">
        <f>C5+C6</f>
        <v>19308.214285714286</v>
      </c>
      <c r="D8" s="21">
        <f>MAX((D5+D6),0)</f>
        <v>61.250830000000008</v>
      </c>
      <c r="E8" s="21">
        <f>MAX((E5+E6),0)</f>
        <v>7.2488357273588067</v>
      </c>
      <c r="F8" s="21">
        <f>MAX((F5+F6),0)</f>
        <v>1233.7071038592353</v>
      </c>
      <c r="G8" s="21"/>
      <c r="H8" s="21"/>
      <c r="I8" s="21"/>
      <c r="J8" s="21">
        <f>MAX((J5+J6),0)</f>
        <v>40.038873839682083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0.15848308643927636</v>
      </c>
      <c r="C10" s="31">
        <f ca="1">'EF ele_warmte'!B22</f>
        <v>5.5947822535355098E-3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55.325494577432742</v>
      </c>
      <c r="C12" s="23">
        <f ca="1">C8*C10</f>
        <v>108.02525463317509</v>
      </c>
      <c r="D12" s="23">
        <f>D8*D10</f>
        <v>12.372667660000003</v>
      </c>
      <c r="E12" s="23">
        <f>E8*E10</f>
        <v>1.6454857101104492</v>
      </c>
      <c r="F12" s="23">
        <f>F8*F10</f>
        <v>329.39979673041586</v>
      </c>
      <c r="G12" s="23"/>
      <c r="H12" s="23"/>
      <c r="I12" s="23"/>
      <c r="J12" s="23">
        <f>J8*J10</f>
        <v>14.173761339247456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4.8687610195792083E-2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73.076099331902114</v>
      </c>
      <c r="C26" s="245">
        <f>B26*'GWP N2O_CH4'!B5</f>
        <v>1534.5980859699443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30.241243176131739</v>
      </c>
      <c r="C27" s="245">
        <f>B27*'GWP N2O_CH4'!B5</f>
        <v>635.06610669876648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1.8713691078800763</v>
      </c>
      <c r="C28" s="245">
        <f>B28*'GWP N2O_CH4'!B4</f>
        <v>580.12442344282363</v>
      </c>
      <c r="D28" s="50"/>
    </row>
    <row r="29" spans="1:4">
      <c r="A29" s="41" t="s">
        <v>266</v>
      </c>
      <c r="B29" s="245">
        <f>B34*'ha_N2O bodem landbouw'!B4</f>
        <v>14.951126630753004</v>
      </c>
      <c r="C29" s="245">
        <f>B29*'GWP N2O_CH4'!B4</f>
        <v>4634.8492555334315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3.7331469238720614E-3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5.5832327202834275E-5</v>
      </c>
      <c r="C5" s="434" t="s">
        <v>204</v>
      </c>
      <c r="D5" s="419">
        <f>SUM(D6:D11)</f>
        <v>5.3957937662577898E-5</v>
      </c>
      <c r="E5" s="419">
        <f>SUM(E6:E11)</f>
        <v>1.991804768227347E-3</v>
      </c>
      <c r="F5" s="432" t="s">
        <v>204</v>
      </c>
      <c r="G5" s="419">
        <f>SUM(G6:G11)</f>
        <v>0.54175908601566558</v>
      </c>
      <c r="H5" s="419">
        <f>SUM(H6:H11)</f>
        <v>9.9131590073536419E-2</v>
      </c>
      <c r="I5" s="434" t="s">
        <v>204</v>
      </c>
      <c r="J5" s="434" t="s">
        <v>204</v>
      </c>
      <c r="K5" s="434" t="s">
        <v>204</v>
      </c>
      <c r="L5" s="434" t="s">
        <v>204</v>
      </c>
      <c r="M5" s="419">
        <f>SUM(M6:M11)</f>
        <v>2.8979867801417081E-2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3.1010312865993214E-5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2.7506393848005703E-5</v>
      </c>
      <c r="E6" s="836">
        <f>vkm_GW_PW*SUMIFS(TableVerdeelsleutelVkm[LPG],TableVerdeelsleutelVkm[Voertuigtype],"Lichte voertuigen")*SUMIFS(TableECFTransport[EnergieConsumptieFactor (PJ per km)],TableECFTransport[Index],CONCATENATE($A6,"_LPG_LPG"))</f>
        <v>9.8773190128409113E-4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0.19635560142629679</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5.0688003608551031E-2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1.1176299369912823E-2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5.5545202819669424E-7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8.6919983617357754E-2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2.2864813928827929E-6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3.9245851009120855E-3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1.188554001993454E-5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1.6586566163529778E-5</v>
      </c>
      <c r="E8" s="422">
        <f>vkm_NGW_PW*SUMIFS(TableVerdeelsleutelVkm[LPG],TableVerdeelsleutelVkm[Voertuigtype],"Lichte voertuigen")*SUMIFS(TableECFTransport[EnergieConsumptieFactor (PJ per km)],TableECFTransport[Index],CONCATENATE($A8,"_LPG_LPG"))</f>
        <v>5.6546092595929681E-4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0.10605134299205859</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2.929726304967888E-2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6.1238638411619493E-3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2.2503816381067257E-8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4.5234449052253831E-3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1.1181336981833895E-7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2.0424090406310913E-4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1.1902090821773466E-5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9.8649776510424134E-6</v>
      </c>
      <c r="E10" s="422">
        <f>vkm_SW_PW*SUMIFS(TableVerdeelsleutelVkm[LPG],TableVerdeelsleutelVkm[Voertuigtype],"Lichte voertuigen")*SUMIFS(TableECFTransport[EnergieConsumptieFactor (PJ per km)],TableECFTransport[Index],CONCATENATE($A10,"_LPG_LPG"))</f>
        <v>4.3861194098395898E-4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7.9856458012853015E-2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1.9141991267358192E-2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4.4781969696315854E-3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4.5642765055529163E-7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6.8052255061873956E-2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1.9338531856262811E-6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3.0726816157355293E-3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15.508979778565077</v>
      </c>
      <c r="C14" s="21"/>
      <c r="D14" s="21">
        <f t="shared" ref="D14:M14" si="0">((D5)*10^9/3600)+D12</f>
        <v>14.988316017382749</v>
      </c>
      <c r="E14" s="21">
        <f t="shared" si="0"/>
        <v>553.27910228537417</v>
      </c>
      <c r="F14" s="21"/>
      <c r="G14" s="21">
        <f t="shared" si="0"/>
        <v>150488.63500435153</v>
      </c>
      <c r="H14" s="21">
        <f t="shared" si="0"/>
        <v>27536.552798204564</v>
      </c>
      <c r="I14" s="21"/>
      <c r="J14" s="21"/>
      <c r="K14" s="21"/>
      <c r="L14" s="21"/>
      <c r="M14" s="21">
        <f t="shared" si="0"/>
        <v>8049.9632781714117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0.15848308643927636</v>
      </c>
      <c r="C16" s="56">
        <f ca="1">'EF ele_warmte'!B22</f>
        <v>5.5947822535355098E-3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2.4579109828313181</v>
      </c>
      <c r="C18" s="23"/>
      <c r="D18" s="23">
        <f t="shared" ref="D18:M18" si="1">D14*D16</f>
        <v>3.0276398355113154</v>
      </c>
      <c r="E18" s="23">
        <f t="shared" si="1"/>
        <v>125.59435621877994</v>
      </c>
      <c r="F18" s="23"/>
      <c r="G18" s="23">
        <f t="shared" si="1"/>
        <v>40180.46554616186</v>
      </c>
      <c r="H18" s="23">
        <f t="shared" si="1"/>
        <v>6856.6016467529362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7.5703864409267841E-5</v>
      </c>
      <c r="C50" s="316">
        <f t="shared" ref="C50:P50" si="2">SUM(C51:C52)</f>
        <v>0</v>
      </c>
      <c r="D50" s="316">
        <f t="shared" si="2"/>
        <v>0</v>
      </c>
      <c r="E50" s="316">
        <f t="shared" si="2"/>
        <v>0</v>
      </c>
      <c r="F50" s="316">
        <f t="shared" si="2"/>
        <v>0</v>
      </c>
      <c r="G50" s="316">
        <f t="shared" si="2"/>
        <v>1.4735328845044931E-2</v>
      </c>
      <c r="H50" s="316">
        <f t="shared" si="2"/>
        <v>0</v>
      </c>
      <c r="I50" s="316">
        <f t="shared" si="2"/>
        <v>0</v>
      </c>
      <c r="J50" s="316">
        <f t="shared" si="2"/>
        <v>0</v>
      </c>
      <c r="K50" s="316">
        <f t="shared" si="2"/>
        <v>0</v>
      </c>
      <c r="L50" s="316">
        <f t="shared" si="2"/>
        <v>0</v>
      </c>
      <c r="M50" s="316">
        <f t="shared" si="2"/>
        <v>6.6074452699765244E-4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7.5703864409267841E-5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1.4735328845044931E-2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6.6074452699765244E-4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21.028851224796622</v>
      </c>
      <c r="C54" s="21">
        <f t="shared" ref="C54:P54" si="3">(C50)*10^9/3600</f>
        <v>0</v>
      </c>
      <c r="D54" s="21">
        <f t="shared" si="3"/>
        <v>0</v>
      </c>
      <c r="E54" s="21">
        <f t="shared" si="3"/>
        <v>0</v>
      </c>
      <c r="F54" s="21">
        <f t="shared" si="3"/>
        <v>0</v>
      </c>
      <c r="G54" s="21">
        <f t="shared" si="3"/>
        <v>4093.1469014013696</v>
      </c>
      <c r="H54" s="21">
        <f t="shared" si="3"/>
        <v>0</v>
      </c>
      <c r="I54" s="21">
        <f t="shared" si="3"/>
        <v>0</v>
      </c>
      <c r="J54" s="21">
        <f t="shared" si="3"/>
        <v>0</v>
      </c>
      <c r="K54" s="21">
        <f t="shared" si="3"/>
        <v>0</v>
      </c>
      <c r="L54" s="21">
        <f t="shared" si="3"/>
        <v>0</v>
      </c>
      <c r="M54" s="21">
        <f t="shared" si="3"/>
        <v>183.54014638823679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0.15848308643927636</v>
      </c>
      <c r="C56" s="56">
        <f ca="1">'EF ele_warmte'!B22</f>
        <v>5.5947822535355098E-3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3.3327172463781256</v>
      </c>
      <c r="C58" s="23">
        <f t="shared" ref="C58:P58" ca="1" si="4">C54*C56</f>
        <v>0</v>
      </c>
      <c r="D58" s="23">
        <f t="shared" si="4"/>
        <v>0</v>
      </c>
      <c r="E58" s="23">
        <f t="shared" si="4"/>
        <v>0</v>
      </c>
      <c r="F58" s="23">
        <f t="shared" si="4"/>
        <v>0</v>
      </c>
      <c r="G58" s="23">
        <f t="shared" si="4"/>
        <v>1092.8702226741657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14055.438889795494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13819.5</v>
      </c>
      <c r="C8" s="546">
        <f>B50</f>
        <v>382.75788788482163</v>
      </c>
      <c r="D8" s="963"/>
      <c r="E8" s="963">
        <f>E50</f>
        <v>0</v>
      </c>
      <c r="F8" s="964"/>
      <c r="G8" s="547"/>
      <c r="H8" s="963">
        <f>I50</f>
        <v>0</v>
      </c>
      <c r="I8" s="963">
        <f>G50+F50</f>
        <v>0</v>
      </c>
      <c r="J8" s="963">
        <f>H50+D50+C50</f>
        <v>15874.751110430387</v>
      </c>
      <c r="K8" s="963"/>
      <c r="L8" s="963"/>
      <c r="M8" s="963"/>
      <c r="N8" s="548"/>
      <c r="O8" s="549">
        <f>C8*$C$12+D8*$D$12+E8*$E$12+F8*$F$12+G8*$G$12+H8*$H$12+I8*$I$12+J8*$J$12</f>
        <v>77.317093352733977</v>
      </c>
      <c r="P8" s="1206"/>
      <c r="Q8" s="1207"/>
      <c r="S8" s="975"/>
      <c r="T8" s="1227"/>
      <c r="U8" s="1227"/>
    </row>
    <row r="9" spans="1:21" s="534" customFormat="1" ht="17.45" customHeight="1" thickBot="1">
      <c r="A9" s="550" t="s">
        <v>237</v>
      </c>
      <c r="B9" s="551">
        <f>N38+'Eigen informatie GS &amp; warmtenet'!B12</f>
        <v>14332.5</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40950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42207.438889795492</v>
      </c>
      <c r="C10" s="559">
        <f t="shared" ref="C10:L10" si="0">SUM(C8:C9)</f>
        <v>382.75788788482163</v>
      </c>
      <c r="D10" s="559">
        <f t="shared" si="0"/>
        <v>0</v>
      </c>
      <c r="E10" s="559">
        <f t="shared" si="0"/>
        <v>0</v>
      </c>
      <c r="F10" s="559">
        <f t="shared" si="0"/>
        <v>0</v>
      </c>
      <c r="G10" s="559">
        <f t="shared" si="0"/>
        <v>0</v>
      </c>
      <c r="H10" s="559">
        <f t="shared" si="0"/>
        <v>0</v>
      </c>
      <c r="I10" s="559">
        <f t="shared" si="0"/>
        <v>0</v>
      </c>
      <c r="J10" s="559">
        <f t="shared" si="0"/>
        <v>56824.751110430385</v>
      </c>
      <c r="K10" s="559">
        <f t="shared" si="0"/>
        <v>0</v>
      </c>
      <c r="L10" s="559">
        <f t="shared" si="0"/>
        <v>0</v>
      </c>
      <c r="M10" s="966"/>
      <c r="N10" s="966"/>
      <c r="O10" s="560">
        <f>SUM(O4:O9)</f>
        <v>77.317093352733977</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19758.214285714286</v>
      </c>
      <c r="C17" s="571">
        <f>B51</f>
        <v>547.24211211517854</v>
      </c>
      <c r="D17" s="572"/>
      <c r="E17" s="572">
        <f>E51</f>
        <v>0</v>
      </c>
      <c r="F17" s="969"/>
      <c r="G17" s="573"/>
      <c r="H17" s="571">
        <f>I51</f>
        <v>0</v>
      </c>
      <c r="I17" s="572">
        <f>G51+F51</f>
        <v>0</v>
      </c>
      <c r="J17" s="572">
        <f>H51+D51+C51</f>
        <v>22696.677460998184</v>
      </c>
      <c r="K17" s="572"/>
      <c r="L17" s="572"/>
      <c r="M17" s="572"/>
      <c r="N17" s="970"/>
      <c r="O17" s="574">
        <f>C17*$C$22+E17*$E$22+H17*$H$22+I17*$I$22+J17*$J$22+D17*$D$22+F17*$F$22+G17*$G$22+K17*$K$22+L17*$L$22</f>
        <v>110.54290664726608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19758.214285714286</v>
      </c>
      <c r="C20" s="558">
        <f>SUM(C17:C19)</f>
        <v>547.24211211517854</v>
      </c>
      <c r="D20" s="558">
        <f t="shared" ref="D20:L20" si="1">SUM(D17:D19)</f>
        <v>0</v>
      </c>
      <c r="E20" s="558">
        <f t="shared" si="1"/>
        <v>0</v>
      </c>
      <c r="F20" s="558">
        <f t="shared" si="1"/>
        <v>0</v>
      </c>
      <c r="G20" s="558">
        <f t="shared" si="1"/>
        <v>0</v>
      </c>
      <c r="H20" s="558">
        <f t="shared" si="1"/>
        <v>0</v>
      </c>
      <c r="I20" s="558">
        <f t="shared" si="1"/>
        <v>0</v>
      </c>
      <c r="J20" s="558">
        <f t="shared" si="1"/>
        <v>22696.677460998184</v>
      </c>
      <c r="K20" s="558">
        <f t="shared" si="1"/>
        <v>0</v>
      </c>
      <c r="L20" s="558">
        <f t="shared" si="1"/>
        <v>0</v>
      </c>
      <c r="M20" s="558"/>
      <c r="N20" s="558"/>
      <c r="O20" s="578">
        <f>SUM(O17:O19)</f>
        <v>110.54290664726608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72039</v>
      </c>
      <c r="C28" s="741">
        <v>3530</v>
      </c>
      <c r="D28" s="630"/>
      <c r="E28" s="629"/>
      <c r="F28" s="629"/>
      <c r="G28" s="629" t="s">
        <v>908</v>
      </c>
      <c r="H28" s="629" t="s">
        <v>909</v>
      </c>
      <c r="I28" s="629"/>
      <c r="J28" s="740"/>
      <c r="K28" s="740"/>
      <c r="L28" s="629" t="s">
        <v>910</v>
      </c>
      <c r="M28" s="629">
        <v>3000</v>
      </c>
      <c r="N28" s="629">
        <v>13500</v>
      </c>
      <c r="O28" s="629">
        <v>19285.714285714286</v>
      </c>
      <c r="P28" s="629">
        <v>0</v>
      </c>
      <c r="Q28" s="629">
        <v>38571.428571428572</v>
      </c>
      <c r="R28" s="629">
        <v>0</v>
      </c>
      <c r="S28" s="629">
        <v>0</v>
      </c>
      <c r="T28" s="629">
        <v>0</v>
      </c>
      <c r="U28" s="629">
        <v>0</v>
      </c>
      <c r="V28" s="629">
        <v>0</v>
      </c>
      <c r="W28" s="629">
        <v>0</v>
      </c>
      <c r="X28" s="629"/>
      <c r="Y28" s="629">
        <v>10</v>
      </c>
      <c r="Z28" s="629" t="s">
        <v>105</v>
      </c>
      <c r="AA28" s="631" t="s">
        <v>105</v>
      </c>
    </row>
    <row r="29" spans="1:27" s="583" customFormat="1" ht="12.75" hidden="1">
      <c r="A29" s="582"/>
      <c r="B29" s="741">
        <v>72039</v>
      </c>
      <c r="C29" s="741">
        <v>3530</v>
      </c>
      <c r="D29" s="630"/>
      <c r="E29" s="629"/>
      <c r="F29" s="629"/>
      <c r="G29" s="629" t="s">
        <v>911</v>
      </c>
      <c r="H29" s="629" t="s">
        <v>911</v>
      </c>
      <c r="I29" s="629"/>
      <c r="J29" s="740"/>
      <c r="K29" s="740"/>
      <c r="L29" s="629" t="s">
        <v>910</v>
      </c>
      <c r="M29" s="629">
        <v>1</v>
      </c>
      <c r="N29" s="629">
        <v>4.5</v>
      </c>
      <c r="O29" s="629">
        <v>22.5</v>
      </c>
      <c r="P29" s="629">
        <v>30</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72039</v>
      </c>
      <c r="C30" s="741">
        <v>3530</v>
      </c>
      <c r="D30" s="630"/>
      <c r="E30" s="629"/>
      <c r="F30" s="629"/>
      <c r="G30" s="629" t="s">
        <v>908</v>
      </c>
      <c r="H30" s="629" t="s">
        <v>909</v>
      </c>
      <c r="I30" s="629"/>
      <c r="J30" s="740"/>
      <c r="K30" s="740"/>
      <c r="L30" s="629" t="s">
        <v>910</v>
      </c>
      <c r="M30" s="629">
        <v>140</v>
      </c>
      <c r="N30" s="629">
        <v>315.00000000000006</v>
      </c>
      <c r="O30" s="629">
        <v>450.00000000000011</v>
      </c>
      <c r="P30" s="629">
        <v>900.00000000000023</v>
      </c>
      <c r="Q30" s="629">
        <v>0</v>
      </c>
      <c r="R30" s="629">
        <v>0</v>
      </c>
      <c r="S30" s="629">
        <v>0</v>
      </c>
      <c r="T30" s="629">
        <v>0</v>
      </c>
      <c r="U30" s="629">
        <v>0</v>
      </c>
      <c r="V30" s="629">
        <v>0</v>
      </c>
      <c r="W30" s="629">
        <v>0</v>
      </c>
      <c r="X30" s="629"/>
      <c r="Y30" s="629">
        <v>800</v>
      </c>
      <c r="Z30" s="629" t="s">
        <v>35</v>
      </c>
      <c r="AA30" s="631" t="s">
        <v>377</v>
      </c>
    </row>
    <row r="31" spans="1:27" s="566" customFormat="1" hidden="1">
      <c r="A31" s="585" t="s">
        <v>269</v>
      </c>
      <c r="B31" s="586"/>
      <c r="C31" s="586"/>
      <c r="D31" s="586"/>
      <c r="E31" s="586"/>
      <c r="F31" s="586"/>
      <c r="G31" s="586"/>
      <c r="H31" s="586"/>
      <c r="I31" s="586"/>
      <c r="J31" s="586"/>
      <c r="K31" s="586"/>
      <c r="L31" s="587"/>
      <c r="M31" s="587">
        <f>SUM(M28:M30)</f>
        <v>3141</v>
      </c>
      <c r="N31" s="587">
        <f>SUM(N28:N30)</f>
        <v>13819.5</v>
      </c>
      <c r="O31" s="587">
        <f>SUM(O28:O30)</f>
        <v>19758.214285714286</v>
      </c>
      <c r="P31" s="587">
        <f>SUM(P28:P30)</f>
        <v>930.00000000000023</v>
      </c>
      <c r="Q31" s="587">
        <f>SUM(Q28:Q30)</f>
        <v>38571.428571428572</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140</v>
      </c>
      <c r="N32" s="587">
        <f>SUMIF($AA$28:$AA$30,"industrie",N28:N30)</f>
        <v>315.00000000000006</v>
      </c>
      <c r="O32" s="587">
        <f>SUMIF($AA$28:$AA$30,"industrie",O28:O30)</f>
        <v>450.00000000000011</v>
      </c>
      <c r="P32" s="587">
        <f>SUMIF($AA$28:$AA$30,"industrie",P28:P30)</f>
        <v>900.00000000000023</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3001</v>
      </c>
      <c r="N34" s="592">
        <f>SUMIF($AA$28:$AA$30,"landbouw",N28:N30)</f>
        <v>13504.5</v>
      </c>
      <c r="O34" s="592">
        <f>SUMIF($AA$28:$AA$30,"landbouw",O28:O30)</f>
        <v>19308.214285714286</v>
      </c>
      <c r="P34" s="592">
        <f>SUMIF($AA$28:$AA$30,"landbouw",P28:P30)</f>
        <v>30</v>
      </c>
      <c r="Q34" s="592">
        <f>SUMIF($AA$28:$AA$30,"landbouw",Q28:Q30)</f>
        <v>38571.428571428572</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63.75" hidden="1">
      <c r="A37" s="584"/>
      <c r="B37" s="741">
        <v>72039</v>
      </c>
      <c r="C37" s="741">
        <v>3530</v>
      </c>
      <c r="D37" s="632"/>
      <c r="E37" s="632"/>
      <c r="F37" s="632"/>
      <c r="G37" s="632" t="s">
        <v>912</v>
      </c>
      <c r="H37" s="632" t="s">
        <v>913</v>
      </c>
      <c r="I37" s="632"/>
      <c r="J37" s="740"/>
      <c r="K37" s="740"/>
      <c r="L37" s="632" t="s">
        <v>910</v>
      </c>
      <c r="M37" s="632">
        <v>3185</v>
      </c>
      <c r="N37" s="632">
        <v>14332.5</v>
      </c>
      <c r="O37" s="632">
        <v>0</v>
      </c>
      <c r="P37" s="632">
        <v>0</v>
      </c>
      <c r="Q37" s="632">
        <v>0</v>
      </c>
      <c r="R37" s="632">
        <v>40950</v>
      </c>
      <c r="S37" s="632">
        <v>0</v>
      </c>
      <c r="T37" s="632">
        <v>0</v>
      </c>
      <c r="U37" s="632">
        <v>0</v>
      </c>
      <c r="V37" s="632">
        <v>0</v>
      </c>
      <c r="W37" s="632">
        <v>0</v>
      </c>
      <c r="X37" s="632"/>
      <c r="Y37" s="632">
        <v>1600</v>
      </c>
      <c r="Z37" s="632" t="s">
        <v>49</v>
      </c>
      <c r="AA37" s="633" t="s">
        <v>149</v>
      </c>
    </row>
    <row r="38" spans="1:28" s="566" customFormat="1" hidden="1">
      <c r="A38" s="585" t="s">
        <v>269</v>
      </c>
      <c r="B38" s="586"/>
      <c r="C38" s="586"/>
      <c r="D38" s="586"/>
      <c r="E38" s="586"/>
      <c r="F38" s="586"/>
      <c r="G38" s="586"/>
      <c r="H38" s="586"/>
      <c r="I38" s="586"/>
      <c r="J38" s="586"/>
      <c r="K38" s="586"/>
      <c r="L38" s="587"/>
      <c r="M38" s="587">
        <f>SUM(M37:M37)</f>
        <v>3185</v>
      </c>
      <c r="N38" s="587">
        <f>SUM(N37:N37)</f>
        <v>14332.5</v>
      </c>
      <c r="O38" s="587">
        <f>SUM(O37:O37)</f>
        <v>0</v>
      </c>
      <c r="P38" s="587">
        <f>SUM(P37:P37)</f>
        <v>0</v>
      </c>
      <c r="Q38" s="587">
        <f>SUM(Q37:Q37)</f>
        <v>0</v>
      </c>
      <c r="R38" s="587">
        <f>SUM(R37:R37)</f>
        <v>40950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3185</v>
      </c>
      <c r="N40" s="587">
        <f>SUMIF($AA$37:$AA$38,"tertiair",N37:N38)</f>
        <v>14332.5</v>
      </c>
      <c r="O40" s="587">
        <f>SUMIF($AA$37:$AA$38,"tertiair",O37:O38)</f>
        <v>0</v>
      </c>
      <c r="P40" s="587">
        <f>SUMIF($AA$37:$AA$38,"tertiair",P37:P38)</f>
        <v>0</v>
      </c>
      <c r="Q40" s="587">
        <f>SUMIF($AA$37:$AA$38,"tertiair",Q37:Q38)</f>
        <v>0</v>
      </c>
      <c r="R40" s="587">
        <f>SUMIF($AA$37:$AA$38,"tertiair",R37:R38)</f>
        <v>40950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0.58843237861847142</v>
      </c>
      <c r="C47" s="612">
        <f>IF(ISERROR(N31/(O31+N31)),0,N31/(N31+O31))</f>
        <v>0.41156762138152853</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382.75788788482163</v>
      </c>
      <c r="C50" s="621">
        <f t="shared" si="2"/>
        <v>15874.751110430387</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547.24211211517854</v>
      </c>
      <c r="C51" s="624">
        <f t="shared" si="3"/>
        <v>22696.677460998184</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63498.82</v>
      </c>
      <c r="D10" s="640">
        <f ca="1">tertiair!C16</f>
        <v>0</v>
      </c>
      <c r="E10" s="640">
        <f ca="1">tertiair!D16</f>
        <v>39002.094846</v>
      </c>
      <c r="F10" s="640">
        <f>tertiair!E16</f>
        <v>214.76969509271214</v>
      </c>
      <c r="G10" s="640">
        <f ca="1">tertiair!F16</f>
        <v>7244.1889579802255</v>
      </c>
      <c r="H10" s="640">
        <f>tertiair!G16</f>
        <v>0</v>
      </c>
      <c r="I10" s="640">
        <f>tertiair!H16</f>
        <v>0</v>
      </c>
      <c r="J10" s="640">
        <f>tertiair!I16</f>
        <v>0</v>
      </c>
      <c r="K10" s="640">
        <f>tertiair!J16</f>
        <v>32.714998318854263</v>
      </c>
      <c r="L10" s="640">
        <f>tertiair!K16</f>
        <v>0</v>
      </c>
      <c r="M10" s="640">
        <f ca="1">tertiair!L16</f>
        <v>0</v>
      </c>
      <c r="N10" s="640">
        <f>tertiair!M16</f>
        <v>0</v>
      </c>
      <c r="O10" s="640">
        <f ca="1">tertiair!N16</f>
        <v>0</v>
      </c>
      <c r="P10" s="640">
        <f>tertiair!O16</f>
        <v>1.5633333333333335</v>
      </c>
      <c r="Q10" s="641">
        <f>tertiair!P16</f>
        <v>57.2</v>
      </c>
      <c r="R10" s="643">
        <f ca="1">SUM(C10:Q10)</f>
        <v>110051.35183072512</v>
      </c>
      <c r="S10" s="67"/>
    </row>
    <row r="11" spans="1:19" s="444" customFormat="1">
      <c r="A11" s="754" t="s">
        <v>214</v>
      </c>
      <c r="B11" s="759"/>
      <c r="C11" s="640">
        <f>huishoudens!B8</f>
        <v>50355.677832710906</v>
      </c>
      <c r="D11" s="640">
        <f>huishoudens!C8</f>
        <v>0</v>
      </c>
      <c r="E11" s="640">
        <f>huishoudens!D8</f>
        <v>86925.034635999997</v>
      </c>
      <c r="F11" s="640">
        <f>huishoudens!E8</f>
        <v>3419.2277353427189</v>
      </c>
      <c r="G11" s="640">
        <f>huishoudens!F8</f>
        <v>104783.8504120306</v>
      </c>
      <c r="H11" s="640">
        <f>huishoudens!G8</f>
        <v>0</v>
      </c>
      <c r="I11" s="640">
        <f>huishoudens!H8</f>
        <v>0</v>
      </c>
      <c r="J11" s="640">
        <f>huishoudens!I8</f>
        <v>0</v>
      </c>
      <c r="K11" s="640">
        <f>huishoudens!J8</f>
        <v>1984.3974838847387</v>
      </c>
      <c r="L11" s="640">
        <f>huishoudens!K8</f>
        <v>0</v>
      </c>
      <c r="M11" s="640">
        <f>huishoudens!L8</f>
        <v>0</v>
      </c>
      <c r="N11" s="640">
        <f>huishoudens!M8</f>
        <v>0</v>
      </c>
      <c r="O11" s="640">
        <f>huishoudens!N8</f>
        <v>18657.080893643288</v>
      </c>
      <c r="P11" s="640">
        <f>huishoudens!O8</f>
        <v>500.26666666666665</v>
      </c>
      <c r="Q11" s="641">
        <f>huishoudens!P8</f>
        <v>514.79999999999995</v>
      </c>
      <c r="R11" s="643">
        <f>SUM(C11:Q11)</f>
        <v>267140.33566027891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32390.457999999999</v>
      </c>
      <c r="D13" s="640">
        <f>industrie!C18</f>
        <v>450.00000000000011</v>
      </c>
      <c r="E13" s="640">
        <f>industrie!D18</f>
        <v>28529.135471999998</v>
      </c>
      <c r="F13" s="640">
        <f>industrie!E18</f>
        <v>2122.2536372528043</v>
      </c>
      <c r="G13" s="640">
        <f>industrie!F18</f>
        <v>10039.671910065932</v>
      </c>
      <c r="H13" s="640">
        <f>industrie!G18</f>
        <v>0</v>
      </c>
      <c r="I13" s="640">
        <f>industrie!H18</f>
        <v>0</v>
      </c>
      <c r="J13" s="640">
        <f>industrie!I18</f>
        <v>0</v>
      </c>
      <c r="K13" s="640">
        <f>industrie!J18</f>
        <v>23.449877039302365</v>
      </c>
      <c r="L13" s="640">
        <f>industrie!K18</f>
        <v>0</v>
      </c>
      <c r="M13" s="640">
        <f>industrie!L18</f>
        <v>0</v>
      </c>
      <c r="N13" s="640">
        <f>industrie!M18</f>
        <v>0</v>
      </c>
      <c r="O13" s="640">
        <f>industrie!N18</f>
        <v>1510.9627520802574</v>
      </c>
      <c r="P13" s="640">
        <f>industrie!O18</f>
        <v>0</v>
      </c>
      <c r="Q13" s="641">
        <f>industrie!P18</f>
        <v>0</v>
      </c>
      <c r="R13" s="643">
        <f>SUM(C13:Q13)</f>
        <v>75065.931648438287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146244.9558327109</v>
      </c>
      <c r="D16" s="675">
        <f t="shared" ref="D16:R16" ca="1" si="0">SUM(D9:D15)</f>
        <v>450.00000000000011</v>
      </c>
      <c r="E16" s="675">
        <f t="shared" ca="1" si="0"/>
        <v>154456.26495399998</v>
      </c>
      <c r="F16" s="675">
        <f t="shared" si="0"/>
        <v>5756.2510676882357</v>
      </c>
      <c r="G16" s="675">
        <f t="shared" ca="1" si="0"/>
        <v>122067.71128007676</v>
      </c>
      <c r="H16" s="675">
        <f t="shared" si="0"/>
        <v>0</v>
      </c>
      <c r="I16" s="675">
        <f t="shared" si="0"/>
        <v>0</v>
      </c>
      <c r="J16" s="675">
        <f t="shared" si="0"/>
        <v>0</v>
      </c>
      <c r="K16" s="675">
        <f t="shared" si="0"/>
        <v>2040.5623592428954</v>
      </c>
      <c r="L16" s="675">
        <f t="shared" si="0"/>
        <v>0</v>
      </c>
      <c r="M16" s="675">
        <f t="shared" ca="1" si="0"/>
        <v>0</v>
      </c>
      <c r="N16" s="675">
        <f t="shared" si="0"/>
        <v>0</v>
      </c>
      <c r="O16" s="675">
        <f t="shared" ca="1" si="0"/>
        <v>20168.043645723545</v>
      </c>
      <c r="P16" s="675">
        <f t="shared" si="0"/>
        <v>501.83</v>
      </c>
      <c r="Q16" s="675">
        <f t="shared" si="0"/>
        <v>572</v>
      </c>
      <c r="R16" s="675">
        <f t="shared" ca="1" si="0"/>
        <v>452257.61913944228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21.028851224796622</v>
      </c>
      <c r="D19" s="640">
        <f>transport!C54</f>
        <v>0</v>
      </c>
      <c r="E19" s="640">
        <f>transport!D54</f>
        <v>0</v>
      </c>
      <c r="F19" s="640">
        <f>transport!E54</f>
        <v>0</v>
      </c>
      <c r="G19" s="640">
        <f>transport!F54</f>
        <v>0</v>
      </c>
      <c r="H19" s="640">
        <f>transport!G54</f>
        <v>4093.1469014013696</v>
      </c>
      <c r="I19" s="640">
        <f>transport!H54</f>
        <v>0</v>
      </c>
      <c r="J19" s="640">
        <f>transport!I54</f>
        <v>0</v>
      </c>
      <c r="K19" s="640">
        <f>transport!J54</f>
        <v>0</v>
      </c>
      <c r="L19" s="640">
        <f>transport!K54</f>
        <v>0</v>
      </c>
      <c r="M19" s="640">
        <f>transport!L54</f>
        <v>0</v>
      </c>
      <c r="N19" s="640">
        <f>transport!M54</f>
        <v>183.54014638823679</v>
      </c>
      <c r="O19" s="640">
        <f>transport!N54</f>
        <v>0</v>
      </c>
      <c r="P19" s="640">
        <f>transport!O54</f>
        <v>0</v>
      </c>
      <c r="Q19" s="641">
        <f>transport!P54</f>
        <v>0</v>
      </c>
      <c r="R19" s="643">
        <f>SUM(C19:Q19)</f>
        <v>4297.7158990144035</v>
      </c>
      <c r="S19" s="67"/>
    </row>
    <row r="20" spans="1:19" s="444" customFormat="1">
      <c r="A20" s="754" t="s">
        <v>296</v>
      </c>
      <c r="B20" s="759"/>
      <c r="C20" s="640">
        <f>transport!B14</f>
        <v>15.508979778565077</v>
      </c>
      <c r="D20" s="640">
        <f>transport!C14</f>
        <v>0</v>
      </c>
      <c r="E20" s="640">
        <f>transport!D14</f>
        <v>14.988316017382749</v>
      </c>
      <c r="F20" s="640">
        <f>transport!E14</f>
        <v>553.27910228537417</v>
      </c>
      <c r="G20" s="640">
        <f>transport!F14</f>
        <v>0</v>
      </c>
      <c r="H20" s="640">
        <f>transport!G14</f>
        <v>150488.63500435153</v>
      </c>
      <c r="I20" s="640">
        <f>transport!H14</f>
        <v>27536.552798204564</v>
      </c>
      <c r="J20" s="640">
        <f>transport!I14</f>
        <v>0</v>
      </c>
      <c r="K20" s="640">
        <f>transport!J14</f>
        <v>0</v>
      </c>
      <c r="L20" s="640">
        <f>transport!K14</f>
        <v>0</v>
      </c>
      <c r="M20" s="640">
        <f>transport!L14</f>
        <v>0</v>
      </c>
      <c r="N20" s="640">
        <f>transport!M14</f>
        <v>8049.9632781714117</v>
      </c>
      <c r="O20" s="640">
        <f>transport!N14</f>
        <v>0</v>
      </c>
      <c r="P20" s="640">
        <f>transport!O14</f>
        <v>0</v>
      </c>
      <c r="Q20" s="641">
        <f>transport!P14</f>
        <v>0</v>
      </c>
      <c r="R20" s="643">
        <f>SUM(C20:Q20)</f>
        <v>186658.92747880882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36.537831003361703</v>
      </c>
      <c r="D22" s="757">
        <f t="shared" ref="D22:R22" si="1">SUM(D18:D21)</f>
        <v>0</v>
      </c>
      <c r="E22" s="757">
        <f t="shared" si="1"/>
        <v>14.988316017382749</v>
      </c>
      <c r="F22" s="757">
        <f t="shared" si="1"/>
        <v>553.27910228537417</v>
      </c>
      <c r="G22" s="757">
        <f t="shared" si="1"/>
        <v>0</v>
      </c>
      <c r="H22" s="757">
        <f t="shared" si="1"/>
        <v>154581.7819057529</v>
      </c>
      <c r="I22" s="757">
        <f t="shared" si="1"/>
        <v>27536.552798204564</v>
      </c>
      <c r="J22" s="757">
        <f t="shared" si="1"/>
        <v>0</v>
      </c>
      <c r="K22" s="757">
        <f t="shared" si="1"/>
        <v>0</v>
      </c>
      <c r="L22" s="757">
        <f t="shared" si="1"/>
        <v>0</v>
      </c>
      <c r="M22" s="757">
        <f t="shared" si="1"/>
        <v>0</v>
      </c>
      <c r="N22" s="757">
        <f t="shared" si="1"/>
        <v>8233.5034245596489</v>
      </c>
      <c r="O22" s="757">
        <f t="shared" si="1"/>
        <v>0</v>
      </c>
      <c r="P22" s="757">
        <f t="shared" si="1"/>
        <v>0</v>
      </c>
      <c r="Q22" s="757">
        <f t="shared" si="1"/>
        <v>0</v>
      </c>
      <c r="R22" s="757">
        <f t="shared" si="1"/>
        <v>190956.64337782323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349.09399999999999</v>
      </c>
      <c r="D24" s="640">
        <f>+landbouw!C8</f>
        <v>19308.214285714286</v>
      </c>
      <c r="E24" s="640">
        <f>+landbouw!D8</f>
        <v>61.250830000000008</v>
      </c>
      <c r="F24" s="640">
        <f>+landbouw!E8</f>
        <v>7.2488357273588067</v>
      </c>
      <c r="G24" s="640">
        <f>+landbouw!F8</f>
        <v>1233.7071038592353</v>
      </c>
      <c r="H24" s="640">
        <f>+landbouw!G8</f>
        <v>0</v>
      </c>
      <c r="I24" s="640">
        <f>+landbouw!H8</f>
        <v>0</v>
      </c>
      <c r="J24" s="640">
        <f>+landbouw!I8</f>
        <v>0</v>
      </c>
      <c r="K24" s="640">
        <f>+landbouw!J8</f>
        <v>40.038873839682083</v>
      </c>
      <c r="L24" s="640">
        <f>+landbouw!K8</f>
        <v>0</v>
      </c>
      <c r="M24" s="640">
        <f>+landbouw!L8</f>
        <v>0</v>
      </c>
      <c r="N24" s="640">
        <f>+landbouw!M8</f>
        <v>0</v>
      </c>
      <c r="O24" s="640">
        <f>+landbouw!N8</f>
        <v>0</v>
      </c>
      <c r="P24" s="640">
        <f>+landbouw!O8</f>
        <v>0</v>
      </c>
      <c r="Q24" s="641">
        <f>+landbouw!P8</f>
        <v>0</v>
      </c>
      <c r="R24" s="643">
        <f>SUM(C24:Q24)</f>
        <v>20999.553929140566</v>
      </c>
      <c r="S24" s="67"/>
    </row>
    <row r="25" spans="1:19" s="444" customFormat="1" ht="15" thickBot="1">
      <c r="A25" s="776" t="s">
        <v>806</v>
      </c>
      <c r="B25" s="939"/>
      <c r="C25" s="940">
        <f>IF(Onbekend_ele_kWh="---",0,Onbekend_ele_kWh)/1000+IF(REST_rest_ele_kWh="---",0,REST_rest_ele_kWh)/1000</f>
        <v>1337.8</v>
      </c>
      <c r="D25" s="940"/>
      <c r="E25" s="940">
        <f>IF(onbekend_gas_kWh="---",0,onbekend_gas_kWh)/1000+IF(REST_rest_gas_kWh="---",0,REST_rest_gas_kWh)/1000</f>
        <v>11002.258</v>
      </c>
      <c r="F25" s="940"/>
      <c r="G25" s="940"/>
      <c r="H25" s="940"/>
      <c r="I25" s="940"/>
      <c r="J25" s="940"/>
      <c r="K25" s="940"/>
      <c r="L25" s="940"/>
      <c r="M25" s="940"/>
      <c r="N25" s="940"/>
      <c r="O25" s="940"/>
      <c r="P25" s="940"/>
      <c r="Q25" s="941"/>
      <c r="R25" s="643">
        <f>SUM(C25:Q25)</f>
        <v>12340.057999999999</v>
      </c>
      <c r="S25" s="67"/>
    </row>
    <row r="26" spans="1:19" s="444" customFormat="1" ht="15.75" thickBot="1">
      <c r="A26" s="648" t="s">
        <v>807</v>
      </c>
      <c r="B26" s="762"/>
      <c r="C26" s="757">
        <f>SUM(C24:C25)</f>
        <v>1686.894</v>
      </c>
      <c r="D26" s="757">
        <f t="shared" ref="D26:R26" si="2">SUM(D24:D25)</f>
        <v>19308.214285714286</v>
      </c>
      <c r="E26" s="757">
        <f t="shared" si="2"/>
        <v>11063.508830000001</v>
      </c>
      <c r="F26" s="757">
        <f t="shared" si="2"/>
        <v>7.2488357273588067</v>
      </c>
      <c r="G26" s="757">
        <f t="shared" si="2"/>
        <v>1233.7071038592353</v>
      </c>
      <c r="H26" s="757">
        <f t="shared" si="2"/>
        <v>0</v>
      </c>
      <c r="I26" s="757">
        <f t="shared" si="2"/>
        <v>0</v>
      </c>
      <c r="J26" s="757">
        <f t="shared" si="2"/>
        <v>0</v>
      </c>
      <c r="K26" s="757">
        <f t="shared" si="2"/>
        <v>40.038873839682083</v>
      </c>
      <c r="L26" s="757">
        <f t="shared" si="2"/>
        <v>0</v>
      </c>
      <c r="M26" s="757">
        <f t="shared" si="2"/>
        <v>0</v>
      </c>
      <c r="N26" s="757">
        <f t="shared" si="2"/>
        <v>0</v>
      </c>
      <c r="O26" s="757">
        <f t="shared" si="2"/>
        <v>0</v>
      </c>
      <c r="P26" s="757">
        <f t="shared" si="2"/>
        <v>0</v>
      </c>
      <c r="Q26" s="757">
        <f t="shared" si="2"/>
        <v>0</v>
      </c>
      <c r="R26" s="757">
        <f t="shared" si="2"/>
        <v>33339.611929140563</v>
      </c>
      <c r="S26" s="67"/>
    </row>
    <row r="27" spans="1:19" s="444" customFormat="1" ht="17.25" thickTop="1" thickBot="1">
      <c r="A27" s="649" t="s">
        <v>109</v>
      </c>
      <c r="B27" s="749"/>
      <c r="C27" s="650">
        <f ca="1">C22+C16+C26</f>
        <v>147968.38766371427</v>
      </c>
      <c r="D27" s="650">
        <f t="shared" ref="D27:R27" ca="1" si="3">D22+D16+D26</f>
        <v>19758.214285714286</v>
      </c>
      <c r="E27" s="650">
        <f t="shared" ca="1" si="3"/>
        <v>165534.76210001737</v>
      </c>
      <c r="F27" s="650">
        <f t="shared" si="3"/>
        <v>6316.7790057009688</v>
      </c>
      <c r="G27" s="650">
        <f t="shared" ca="1" si="3"/>
        <v>123301.418383936</v>
      </c>
      <c r="H27" s="650">
        <f t="shared" si="3"/>
        <v>154581.7819057529</v>
      </c>
      <c r="I27" s="650">
        <f t="shared" si="3"/>
        <v>27536.552798204564</v>
      </c>
      <c r="J27" s="650">
        <f t="shared" si="3"/>
        <v>0</v>
      </c>
      <c r="K27" s="650">
        <f t="shared" si="3"/>
        <v>2080.6012330825774</v>
      </c>
      <c r="L27" s="650">
        <f t="shared" si="3"/>
        <v>0</v>
      </c>
      <c r="M27" s="650">
        <f t="shared" ca="1" si="3"/>
        <v>0</v>
      </c>
      <c r="N27" s="650">
        <f t="shared" si="3"/>
        <v>8233.5034245596489</v>
      </c>
      <c r="O27" s="650">
        <f t="shared" ca="1" si="3"/>
        <v>20168.043645723545</v>
      </c>
      <c r="P27" s="650">
        <f t="shared" si="3"/>
        <v>501.83</v>
      </c>
      <c r="Q27" s="650">
        <f t="shared" si="3"/>
        <v>572</v>
      </c>
      <c r="R27" s="650">
        <f t="shared" ca="1" si="3"/>
        <v>676553.87444640603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10063.48897885205</v>
      </c>
      <c r="D40" s="640">
        <f ca="1">tertiair!C20</f>
        <v>0</v>
      </c>
      <c r="E40" s="640">
        <f ca="1">tertiair!D20</f>
        <v>7878.4231588920002</v>
      </c>
      <c r="F40" s="640">
        <f>tertiair!E20</f>
        <v>48.752720786045657</v>
      </c>
      <c r="G40" s="640">
        <f ca="1">tertiair!F20</f>
        <v>1934.1984517807202</v>
      </c>
      <c r="H40" s="640">
        <f>tertiair!G20</f>
        <v>0</v>
      </c>
      <c r="I40" s="640">
        <f>tertiair!H20</f>
        <v>0</v>
      </c>
      <c r="J40" s="640">
        <f>tertiair!I20</f>
        <v>0</v>
      </c>
      <c r="K40" s="640">
        <f>tertiair!J20</f>
        <v>11.581109404874409</v>
      </c>
      <c r="L40" s="640">
        <f>tertiair!K20</f>
        <v>0</v>
      </c>
      <c r="M40" s="640">
        <f ca="1">tertiair!L20</f>
        <v>0</v>
      </c>
      <c r="N40" s="640">
        <f>tertiair!M20</f>
        <v>0</v>
      </c>
      <c r="O40" s="640">
        <f ca="1">tertiair!N20</f>
        <v>0</v>
      </c>
      <c r="P40" s="640">
        <f>tertiair!O20</f>
        <v>0</v>
      </c>
      <c r="Q40" s="717">
        <f>tertiair!P20</f>
        <v>0</v>
      </c>
      <c r="R40" s="795">
        <f t="shared" ca="1" si="4"/>
        <v>19936.444419715688</v>
      </c>
    </row>
    <row r="41" spans="1:18">
      <c r="A41" s="767" t="s">
        <v>214</v>
      </c>
      <c r="B41" s="774"/>
      <c r="C41" s="640">
        <f ca="1">huishoudens!B12</f>
        <v>7980.5232426698749</v>
      </c>
      <c r="D41" s="640">
        <f ca="1">huishoudens!C12</f>
        <v>0</v>
      </c>
      <c r="E41" s="640">
        <f>huishoudens!D12</f>
        <v>17558.856996472001</v>
      </c>
      <c r="F41" s="640">
        <f>huishoudens!E12</f>
        <v>776.16469592279725</v>
      </c>
      <c r="G41" s="640">
        <f>huishoudens!F12</f>
        <v>27977.288060012172</v>
      </c>
      <c r="H41" s="640">
        <f>huishoudens!G12</f>
        <v>0</v>
      </c>
      <c r="I41" s="640">
        <f>huishoudens!H12</f>
        <v>0</v>
      </c>
      <c r="J41" s="640">
        <f>huishoudens!I12</f>
        <v>0</v>
      </c>
      <c r="K41" s="640">
        <f>huishoudens!J12</f>
        <v>702.47670929519745</v>
      </c>
      <c r="L41" s="640">
        <f>huishoudens!K12</f>
        <v>0</v>
      </c>
      <c r="M41" s="640">
        <f>huishoudens!L12</f>
        <v>0</v>
      </c>
      <c r="N41" s="640">
        <f>huishoudens!M12</f>
        <v>0</v>
      </c>
      <c r="O41" s="640">
        <f>huishoudens!N12</f>
        <v>0</v>
      </c>
      <c r="P41" s="640">
        <f>huishoudens!O12</f>
        <v>0</v>
      </c>
      <c r="Q41" s="717">
        <f>huishoudens!P12</f>
        <v>0</v>
      </c>
      <c r="R41" s="795">
        <f t="shared" ca="1" si="4"/>
        <v>54995.309704372041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5133.3397550217505</v>
      </c>
      <c r="D43" s="640">
        <f ca="1">industrie!C22</f>
        <v>2.5176520140909799</v>
      </c>
      <c r="E43" s="640">
        <f>industrie!D22</f>
        <v>5762.8853653440001</v>
      </c>
      <c r="F43" s="640">
        <f>industrie!E22</f>
        <v>481.75157565638659</v>
      </c>
      <c r="G43" s="640">
        <f>industrie!F22</f>
        <v>2680.592399987604</v>
      </c>
      <c r="H43" s="640">
        <f>industrie!G22</f>
        <v>0</v>
      </c>
      <c r="I43" s="640">
        <f>industrie!H22</f>
        <v>0</v>
      </c>
      <c r="J43" s="640">
        <f>industrie!I22</f>
        <v>0</v>
      </c>
      <c r="K43" s="640">
        <f>industrie!J22</f>
        <v>8.3012564719130371</v>
      </c>
      <c r="L43" s="640">
        <f>industrie!K22</f>
        <v>0</v>
      </c>
      <c r="M43" s="640">
        <f>industrie!L22</f>
        <v>0</v>
      </c>
      <c r="N43" s="640">
        <f>industrie!M22</f>
        <v>0</v>
      </c>
      <c r="O43" s="640">
        <f>industrie!N22</f>
        <v>0</v>
      </c>
      <c r="P43" s="640">
        <f>industrie!O22</f>
        <v>0</v>
      </c>
      <c r="Q43" s="717">
        <f>industrie!P22</f>
        <v>0</v>
      </c>
      <c r="R43" s="794">
        <f t="shared" ca="1" si="4"/>
        <v>14069.388004495748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23177.351976543672</v>
      </c>
      <c r="D46" s="675">
        <f t="shared" ref="D46:Q46" ca="1" si="5">SUM(D39:D45)</f>
        <v>2.5176520140909799</v>
      </c>
      <c r="E46" s="675">
        <f t="shared" ca="1" si="5"/>
        <v>31200.165520708004</v>
      </c>
      <c r="F46" s="675">
        <f t="shared" si="5"/>
        <v>1306.6689923652295</v>
      </c>
      <c r="G46" s="675">
        <f t="shared" ca="1" si="5"/>
        <v>32592.078911780496</v>
      </c>
      <c r="H46" s="675">
        <f t="shared" si="5"/>
        <v>0</v>
      </c>
      <c r="I46" s="675">
        <f t="shared" si="5"/>
        <v>0</v>
      </c>
      <c r="J46" s="675">
        <f t="shared" si="5"/>
        <v>0</v>
      </c>
      <c r="K46" s="675">
        <f t="shared" si="5"/>
        <v>722.35907517198484</v>
      </c>
      <c r="L46" s="675">
        <f t="shared" si="5"/>
        <v>0</v>
      </c>
      <c r="M46" s="675">
        <f t="shared" ca="1" si="5"/>
        <v>0</v>
      </c>
      <c r="N46" s="675">
        <f t="shared" si="5"/>
        <v>0</v>
      </c>
      <c r="O46" s="675">
        <f t="shared" ca="1" si="5"/>
        <v>0</v>
      </c>
      <c r="P46" s="675">
        <f t="shared" si="5"/>
        <v>0</v>
      </c>
      <c r="Q46" s="675">
        <f t="shared" si="5"/>
        <v>0</v>
      </c>
      <c r="R46" s="675">
        <f ca="1">SUM(R39:R45)</f>
        <v>89001.14212858348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3.3327172463781256</v>
      </c>
      <c r="D49" s="640">
        <f ca="1">transport!C58</f>
        <v>0</v>
      </c>
      <c r="E49" s="640">
        <f>transport!D58</f>
        <v>0</v>
      </c>
      <c r="F49" s="640">
        <f>transport!E58</f>
        <v>0</v>
      </c>
      <c r="G49" s="640">
        <f>transport!F58</f>
        <v>0</v>
      </c>
      <c r="H49" s="640">
        <f>transport!G58</f>
        <v>1092.8702226741657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1096.2029399205437</v>
      </c>
    </row>
    <row r="50" spans="1:18">
      <c r="A50" s="770" t="s">
        <v>296</v>
      </c>
      <c r="B50" s="780"/>
      <c r="C50" s="646">
        <f ca="1">transport!B18</f>
        <v>2.4579109828313181</v>
      </c>
      <c r="D50" s="646">
        <f>transport!C18</f>
        <v>0</v>
      </c>
      <c r="E50" s="646">
        <f>transport!D18</f>
        <v>3.0276398355113154</v>
      </c>
      <c r="F50" s="646">
        <f>transport!E18</f>
        <v>125.59435621877994</v>
      </c>
      <c r="G50" s="646">
        <f>transport!F18</f>
        <v>0</v>
      </c>
      <c r="H50" s="646">
        <f>transport!G18</f>
        <v>40180.46554616186</v>
      </c>
      <c r="I50" s="646">
        <f>transport!H18</f>
        <v>6856.6016467529362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47168.147099951915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5.7906282292094442</v>
      </c>
      <c r="D52" s="675">
        <f t="shared" ref="D52:Q52" ca="1" si="6">SUM(D48:D51)</f>
        <v>0</v>
      </c>
      <c r="E52" s="675">
        <f t="shared" si="6"/>
        <v>3.0276398355113154</v>
      </c>
      <c r="F52" s="675">
        <f t="shared" si="6"/>
        <v>125.59435621877994</v>
      </c>
      <c r="G52" s="675">
        <f t="shared" si="6"/>
        <v>0</v>
      </c>
      <c r="H52" s="675">
        <f t="shared" si="6"/>
        <v>41273.335768836027</v>
      </c>
      <c r="I52" s="675">
        <f t="shared" si="6"/>
        <v>6856.6016467529362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48264.350039872457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55.325494577432742</v>
      </c>
      <c r="D54" s="646">
        <f ca="1">+landbouw!C12</f>
        <v>108.02525463317509</v>
      </c>
      <c r="E54" s="646">
        <f>+landbouw!D12</f>
        <v>12.372667660000003</v>
      </c>
      <c r="F54" s="646">
        <f>+landbouw!E12</f>
        <v>1.6454857101104492</v>
      </c>
      <c r="G54" s="646">
        <f>+landbouw!F12</f>
        <v>329.39979673041586</v>
      </c>
      <c r="H54" s="646">
        <f>+landbouw!G12</f>
        <v>0</v>
      </c>
      <c r="I54" s="646">
        <f>+landbouw!H12</f>
        <v>0</v>
      </c>
      <c r="J54" s="646">
        <f>+landbouw!I12</f>
        <v>0</v>
      </c>
      <c r="K54" s="646">
        <f>+landbouw!J12</f>
        <v>14.173761339247456</v>
      </c>
      <c r="L54" s="646">
        <f>+landbouw!K12</f>
        <v>0</v>
      </c>
      <c r="M54" s="646">
        <f>+landbouw!L12</f>
        <v>0</v>
      </c>
      <c r="N54" s="646">
        <f>+landbouw!M12</f>
        <v>0</v>
      </c>
      <c r="O54" s="646">
        <f>+landbouw!N12</f>
        <v>0</v>
      </c>
      <c r="P54" s="646">
        <f>+landbouw!O12</f>
        <v>0</v>
      </c>
      <c r="Q54" s="647">
        <f>+landbouw!P12</f>
        <v>0</v>
      </c>
      <c r="R54" s="674">
        <f ca="1">SUM(C54:Q54)</f>
        <v>520.94246065038158</v>
      </c>
    </row>
    <row r="55" spans="1:18" ht="15" thickBot="1">
      <c r="A55" s="770" t="s">
        <v>806</v>
      </c>
      <c r="B55" s="780"/>
      <c r="C55" s="646">
        <f ca="1">C25*'EF ele_warmte'!B12</f>
        <v>212.0186730384639</v>
      </c>
      <c r="D55" s="646"/>
      <c r="E55" s="646">
        <f>E25*EF_CO2_aardgas</f>
        <v>2222.4561160000003</v>
      </c>
      <c r="F55" s="646"/>
      <c r="G55" s="646"/>
      <c r="H55" s="646"/>
      <c r="I55" s="646"/>
      <c r="J55" s="646"/>
      <c r="K55" s="646"/>
      <c r="L55" s="646"/>
      <c r="M55" s="646"/>
      <c r="N55" s="646"/>
      <c r="O55" s="646"/>
      <c r="P55" s="646"/>
      <c r="Q55" s="647"/>
      <c r="R55" s="674">
        <f ca="1">SUM(C55:Q55)</f>
        <v>2434.4747890384642</v>
      </c>
    </row>
    <row r="56" spans="1:18" ht="15.75" thickBot="1">
      <c r="A56" s="768" t="s">
        <v>807</v>
      </c>
      <c r="B56" s="781"/>
      <c r="C56" s="675">
        <f ca="1">SUM(C54:C55)</f>
        <v>267.34416761589665</v>
      </c>
      <c r="D56" s="675">
        <f t="shared" ref="D56:Q56" ca="1" si="7">SUM(D54:D55)</f>
        <v>108.02525463317509</v>
      </c>
      <c r="E56" s="675">
        <f t="shared" si="7"/>
        <v>2234.8287836600002</v>
      </c>
      <c r="F56" s="675">
        <f t="shared" si="7"/>
        <v>1.6454857101104492</v>
      </c>
      <c r="G56" s="675">
        <f t="shared" si="7"/>
        <v>329.39979673041586</v>
      </c>
      <c r="H56" s="675">
        <f t="shared" si="7"/>
        <v>0</v>
      </c>
      <c r="I56" s="675">
        <f t="shared" si="7"/>
        <v>0</v>
      </c>
      <c r="J56" s="675">
        <f t="shared" si="7"/>
        <v>0</v>
      </c>
      <c r="K56" s="675">
        <f t="shared" si="7"/>
        <v>14.173761339247456</v>
      </c>
      <c r="L56" s="675">
        <f t="shared" si="7"/>
        <v>0</v>
      </c>
      <c r="M56" s="675">
        <f t="shared" si="7"/>
        <v>0</v>
      </c>
      <c r="N56" s="675">
        <f t="shared" si="7"/>
        <v>0</v>
      </c>
      <c r="O56" s="675">
        <f t="shared" si="7"/>
        <v>0</v>
      </c>
      <c r="P56" s="675">
        <f t="shared" si="7"/>
        <v>0</v>
      </c>
      <c r="Q56" s="676">
        <f t="shared" si="7"/>
        <v>0</v>
      </c>
      <c r="R56" s="677">
        <f ca="1">SUM(R54:R55)</f>
        <v>2955.4172496888459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23450.48677238878</v>
      </c>
      <c r="D61" s="683">
        <f t="shared" ref="D61:Q61" ca="1" si="8">D46+D52+D56</f>
        <v>110.54290664726608</v>
      </c>
      <c r="E61" s="683">
        <f t="shared" ca="1" si="8"/>
        <v>33438.021944203516</v>
      </c>
      <c r="F61" s="683">
        <f t="shared" si="8"/>
        <v>1433.90883429412</v>
      </c>
      <c r="G61" s="683">
        <f t="shared" ca="1" si="8"/>
        <v>32921.478708510913</v>
      </c>
      <c r="H61" s="683">
        <f t="shared" si="8"/>
        <v>41273.335768836027</v>
      </c>
      <c r="I61" s="683">
        <f t="shared" si="8"/>
        <v>6856.6016467529362</v>
      </c>
      <c r="J61" s="683">
        <f t="shared" si="8"/>
        <v>0</v>
      </c>
      <c r="K61" s="683">
        <f t="shared" si="8"/>
        <v>736.53283651123229</v>
      </c>
      <c r="L61" s="683">
        <f t="shared" si="8"/>
        <v>0</v>
      </c>
      <c r="M61" s="683">
        <f t="shared" ca="1" si="8"/>
        <v>0</v>
      </c>
      <c r="N61" s="683">
        <f t="shared" si="8"/>
        <v>0</v>
      </c>
      <c r="O61" s="683">
        <f t="shared" ca="1" si="8"/>
        <v>0</v>
      </c>
      <c r="P61" s="683">
        <f t="shared" si="8"/>
        <v>0</v>
      </c>
      <c r="Q61" s="683">
        <f t="shared" si="8"/>
        <v>0</v>
      </c>
      <c r="R61" s="683">
        <f ca="1">R46+R52+R56</f>
        <v>140220.90941814479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0.15848308643927633</v>
      </c>
      <c r="D63" s="726">
        <f t="shared" ca="1" si="9"/>
        <v>5.5947822535355098E-3</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14055.438889795494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13494.141260713899</v>
      </c>
      <c r="C76" s="693">
        <f>'lokale energieproductie'!B8*IFERROR(SUM(D76:H76)/SUM(D76:O76),0)</f>
        <v>325.35873928610181</v>
      </c>
      <c r="D76" s="956">
        <f>'lokale energieproductie'!C8</f>
        <v>382.75788788482163</v>
      </c>
      <c r="E76" s="957">
        <f>'lokale energieproductie'!D8</f>
        <v>0</v>
      </c>
      <c r="F76" s="957">
        <f>'lokale energieproductie'!E8</f>
        <v>0</v>
      </c>
      <c r="G76" s="957">
        <f>'lokale energieproductie'!F8</f>
        <v>0</v>
      </c>
      <c r="H76" s="957">
        <f>'lokale energieproductie'!G8</f>
        <v>0</v>
      </c>
      <c r="I76" s="957">
        <f>'lokale energieproductie'!I8</f>
        <v>0</v>
      </c>
      <c r="J76" s="957">
        <f>'lokale energieproductie'!J8</f>
        <v>15874.751110430387</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77.317093352733977</v>
      </c>
      <c r="R76" s="797">
        <v>0</v>
      </c>
    </row>
    <row r="77" spans="1:18" ht="30.75" thickBot="1">
      <c r="A77" s="696" t="s">
        <v>340</v>
      </c>
      <c r="B77" s="693">
        <f>'lokale energieproductie'!B9*IFERROR(SUM(I77:O77)/SUM(D77:O77),0)</f>
        <v>14332.5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40950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41882.080150509391</v>
      </c>
      <c r="C78" s="698">
        <f>SUM(C72:C77)</f>
        <v>325.35873928610181</v>
      </c>
      <c r="D78" s="699">
        <f t="shared" ref="D78:H78" si="10">SUM(D76:D77)</f>
        <v>382.75788788482163</v>
      </c>
      <c r="E78" s="699">
        <f t="shared" si="10"/>
        <v>0</v>
      </c>
      <c r="F78" s="699">
        <f t="shared" si="10"/>
        <v>0</v>
      </c>
      <c r="G78" s="699">
        <f t="shared" si="10"/>
        <v>0</v>
      </c>
      <c r="H78" s="699">
        <f t="shared" si="10"/>
        <v>0</v>
      </c>
      <c r="I78" s="699">
        <f>SUM(I76:I77)</f>
        <v>0</v>
      </c>
      <c r="J78" s="699">
        <f>SUM(J76:J77)</f>
        <v>56824.751110430385</v>
      </c>
      <c r="K78" s="699">
        <f t="shared" ref="K78:L78" si="11">SUM(K76:K77)</f>
        <v>0</v>
      </c>
      <c r="L78" s="699">
        <f t="shared" si="11"/>
        <v>0</v>
      </c>
      <c r="M78" s="699">
        <f>SUM(M76:M77)</f>
        <v>0</v>
      </c>
      <c r="N78" s="699">
        <f>SUM(N76:N77)</f>
        <v>0</v>
      </c>
      <c r="O78" s="805">
        <f>SUM(O76:O77)</f>
        <v>0</v>
      </c>
      <c r="P78" s="700">
        <v>0</v>
      </c>
      <c r="Q78" s="700">
        <f>SUM(Q76:Q77)</f>
        <v>77.317093352733977</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19293.037709821914</v>
      </c>
      <c r="C87" s="709">
        <f>'lokale energieproductie'!B17*IFERROR(SUM(D87:H87)/SUM(D87:O87),0)</f>
        <v>465.17657589237285</v>
      </c>
      <c r="D87" s="720">
        <f>'lokale energieproductie'!C17</f>
        <v>547.24211211517854</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22696.677460998184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110.54290664726608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19293.037709821914</v>
      </c>
      <c r="C90" s="698">
        <f>SUM(C87:C89)</f>
        <v>465.17657589237285</v>
      </c>
      <c r="D90" s="698">
        <f t="shared" ref="D90:H90" si="12">SUM(D87:D89)</f>
        <v>547.24211211517854</v>
      </c>
      <c r="E90" s="698">
        <f t="shared" si="12"/>
        <v>0</v>
      </c>
      <c r="F90" s="698">
        <f t="shared" si="12"/>
        <v>0</v>
      </c>
      <c r="G90" s="698">
        <f t="shared" si="12"/>
        <v>0</v>
      </c>
      <c r="H90" s="698">
        <f t="shared" si="12"/>
        <v>0</v>
      </c>
      <c r="I90" s="698">
        <f>SUM(I87:I89)</f>
        <v>0</v>
      </c>
      <c r="J90" s="698">
        <f>SUM(J87:J89)</f>
        <v>22696.677460998184</v>
      </c>
      <c r="K90" s="698">
        <f t="shared" ref="K90:L90" si="13">SUM(K87:K89)</f>
        <v>0</v>
      </c>
      <c r="L90" s="698">
        <f t="shared" si="13"/>
        <v>0</v>
      </c>
      <c r="M90" s="698">
        <f>SUM(M87:M89)</f>
        <v>0</v>
      </c>
      <c r="N90" s="698">
        <f>SUM(N87:N89)</f>
        <v>0</v>
      </c>
      <c r="O90" s="698">
        <f>SUM(O87:O89)</f>
        <v>0</v>
      </c>
      <c r="P90" s="698">
        <v>0</v>
      </c>
      <c r="Q90" s="698">
        <f>SUM(Q87:Q89)</f>
        <v>110.54290664726608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50355.677832710906</v>
      </c>
      <c r="C4" s="448">
        <f>huishoudens!C8</f>
        <v>0</v>
      </c>
      <c r="D4" s="448">
        <f>huishoudens!D8</f>
        <v>86925.034635999997</v>
      </c>
      <c r="E4" s="448">
        <f>huishoudens!E8</f>
        <v>3419.2277353427189</v>
      </c>
      <c r="F4" s="448">
        <f>huishoudens!F8</f>
        <v>104783.8504120306</v>
      </c>
      <c r="G4" s="448">
        <f>huishoudens!G8</f>
        <v>0</v>
      </c>
      <c r="H4" s="448">
        <f>huishoudens!H8</f>
        <v>0</v>
      </c>
      <c r="I4" s="448">
        <f>huishoudens!I8</f>
        <v>0</v>
      </c>
      <c r="J4" s="448">
        <f>huishoudens!J8</f>
        <v>1984.3974838847387</v>
      </c>
      <c r="K4" s="448">
        <f>huishoudens!K8</f>
        <v>0</v>
      </c>
      <c r="L4" s="448">
        <f>huishoudens!L8</f>
        <v>0</v>
      </c>
      <c r="M4" s="448">
        <f>huishoudens!M8</f>
        <v>0</v>
      </c>
      <c r="N4" s="448">
        <f>huishoudens!N8</f>
        <v>18657.080893643288</v>
      </c>
      <c r="O4" s="448">
        <f>huishoudens!O8</f>
        <v>500.26666666666665</v>
      </c>
      <c r="P4" s="449">
        <f>huishoudens!P8</f>
        <v>514.79999999999995</v>
      </c>
      <c r="Q4" s="450">
        <f>SUM(B4:P4)</f>
        <v>267140.33566027891</v>
      </c>
    </row>
    <row r="5" spans="1:17">
      <c r="A5" s="447" t="s">
        <v>149</v>
      </c>
      <c r="B5" s="448">
        <f ca="1">tertiair!B16</f>
        <v>61928.464</v>
      </c>
      <c r="C5" s="448">
        <f ca="1">tertiair!C16</f>
        <v>0</v>
      </c>
      <c r="D5" s="448">
        <f ca="1">tertiair!D16</f>
        <v>39002.094846</v>
      </c>
      <c r="E5" s="448">
        <f>tertiair!E16</f>
        <v>214.76969509271214</v>
      </c>
      <c r="F5" s="448">
        <f ca="1">tertiair!F16</f>
        <v>7244.1889579802255</v>
      </c>
      <c r="G5" s="448">
        <f>tertiair!G16</f>
        <v>0</v>
      </c>
      <c r="H5" s="448">
        <f>tertiair!H16</f>
        <v>0</v>
      </c>
      <c r="I5" s="448">
        <f>tertiair!I16</f>
        <v>0</v>
      </c>
      <c r="J5" s="448">
        <f>tertiair!J16</f>
        <v>32.714998318854263</v>
      </c>
      <c r="K5" s="448">
        <f>tertiair!K16</f>
        <v>0</v>
      </c>
      <c r="L5" s="448">
        <f ca="1">tertiair!L16</f>
        <v>0</v>
      </c>
      <c r="M5" s="448">
        <f>tertiair!M16</f>
        <v>0</v>
      </c>
      <c r="N5" s="448">
        <f ca="1">tertiair!N16</f>
        <v>0</v>
      </c>
      <c r="O5" s="448">
        <f>tertiair!O16</f>
        <v>1.5633333333333335</v>
      </c>
      <c r="P5" s="449">
        <f>tertiair!P16</f>
        <v>57.2</v>
      </c>
      <c r="Q5" s="447">
        <f t="shared" ref="Q5:Q14" ca="1" si="0">SUM(B5:P5)</f>
        <v>108480.99583072512</v>
      </c>
    </row>
    <row r="6" spans="1:17">
      <c r="A6" s="447" t="s">
        <v>187</v>
      </c>
      <c r="B6" s="448">
        <f>'openbare verlichting'!B8</f>
        <v>1570.356</v>
      </c>
      <c r="C6" s="448"/>
      <c r="D6" s="448"/>
      <c r="E6" s="448"/>
      <c r="F6" s="448"/>
      <c r="G6" s="448"/>
      <c r="H6" s="448"/>
      <c r="I6" s="448"/>
      <c r="J6" s="448"/>
      <c r="K6" s="448"/>
      <c r="L6" s="448"/>
      <c r="M6" s="448"/>
      <c r="N6" s="448"/>
      <c r="O6" s="448"/>
      <c r="P6" s="449"/>
      <c r="Q6" s="447">
        <f t="shared" si="0"/>
        <v>1570.356</v>
      </c>
    </row>
    <row r="7" spans="1:17">
      <c r="A7" s="447" t="s">
        <v>105</v>
      </c>
      <c r="B7" s="448">
        <f>landbouw!B8</f>
        <v>349.09399999999999</v>
      </c>
      <c r="C7" s="448">
        <f>landbouw!C8</f>
        <v>19308.214285714286</v>
      </c>
      <c r="D7" s="448">
        <f>landbouw!D8</f>
        <v>61.250830000000008</v>
      </c>
      <c r="E7" s="448">
        <f>landbouw!E8</f>
        <v>7.2488357273588067</v>
      </c>
      <c r="F7" s="448">
        <f>landbouw!F8</f>
        <v>1233.7071038592353</v>
      </c>
      <c r="G7" s="448">
        <f>landbouw!G8</f>
        <v>0</v>
      </c>
      <c r="H7" s="448">
        <f>landbouw!H8</f>
        <v>0</v>
      </c>
      <c r="I7" s="448">
        <f>landbouw!I8</f>
        <v>0</v>
      </c>
      <c r="J7" s="448">
        <f>landbouw!J8</f>
        <v>40.038873839682083</v>
      </c>
      <c r="K7" s="448">
        <f>landbouw!K8</f>
        <v>0</v>
      </c>
      <c r="L7" s="448">
        <f>landbouw!L8</f>
        <v>0</v>
      </c>
      <c r="M7" s="448">
        <f>landbouw!M8</f>
        <v>0</v>
      </c>
      <c r="N7" s="448">
        <f>landbouw!N8</f>
        <v>0</v>
      </c>
      <c r="O7" s="448">
        <f>landbouw!O8</f>
        <v>0</v>
      </c>
      <c r="P7" s="449">
        <f>landbouw!P8</f>
        <v>0</v>
      </c>
      <c r="Q7" s="447">
        <f t="shared" si="0"/>
        <v>20999.553929140566</v>
      </c>
    </row>
    <row r="8" spans="1:17">
      <c r="A8" s="447" t="s">
        <v>614</v>
      </c>
      <c r="B8" s="448">
        <f>industrie!B18</f>
        <v>32390.457999999999</v>
      </c>
      <c r="C8" s="448">
        <f>industrie!C18</f>
        <v>450.00000000000011</v>
      </c>
      <c r="D8" s="448">
        <f>industrie!D18</f>
        <v>28529.135471999998</v>
      </c>
      <c r="E8" s="448">
        <f>industrie!E18</f>
        <v>2122.2536372528043</v>
      </c>
      <c r="F8" s="448">
        <f>industrie!F18</f>
        <v>10039.671910065932</v>
      </c>
      <c r="G8" s="448">
        <f>industrie!G18</f>
        <v>0</v>
      </c>
      <c r="H8" s="448">
        <f>industrie!H18</f>
        <v>0</v>
      </c>
      <c r="I8" s="448">
        <f>industrie!I18</f>
        <v>0</v>
      </c>
      <c r="J8" s="448">
        <f>industrie!J18</f>
        <v>23.449877039302365</v>
      </c>
      <c r="K8" s="448">
        <f>industrie!K18</f>
        <v>0</v>
      </c>
      <c r="L8" s="448">
        <f>industrie!L18</f>
        <v>0</v>
      </c>
      <c r="M8" s="448">
        <f>industrie!M18</f>
        <v>0</v>
      </c>
      <c r="N8" s="448">
        <f>industrie!N18</f>
        <v>1510.9627520802574</v>
      </c>
      <c r="O8" s="448">
        <f>industrie!O18</f>
        <v>0</v>
      </c>
      <c r="P8" s="449">
        <f>industrie!P18</f>
        <v>0</v>
      </c>
      <c r="Q8" s="447">
        <f t="shared" si="0"/>
        <v>75065.931648438287</v>
      </c>
    </row>
    <row r="9" spans="1:17" s="453" customFormat="1">
      <c r="A9" s="451" t="s">
        <v>555</v>
      </c>
      <c r="B9" s="452">
        <f>transport!B14</f>
        <v>15.508979778565077</v>
      </c>
      <c r="C9" s="452">
        <f>transport!C14</f>
        <v>0</v>
      </c>
      <c r="D9" s="452">
        <f>transport!D14</f>
        <v>14.988316017382749</v>
      </c>
      <c r="E9" s="452">
        <f>transport!E14</f>
        <v>553.27910228537417</v>
      </c>
      <c r="F9" s="452">
        <f>transport!F14</f>
        <v>0</v>
      </c>
      <c r="G9" s="452">
        <f>transport!G14</f>
        <v>150488.63500435153</v>
      </c>
      <c r="H9" s="452">
        <f>transport!H14</f>
        <v>27536.552798204564</v>
      </c>
      <c r="I9" s="452">
        <f>transport!I14</f>
        <v>0</v>
      </c>
      <c r="J9" s="452">
        <f>transport!J14</f>
        <v>0</v>
      </c>
      <c r="K9" s="452">
        <f>transport!K14</f>
        <v>0</v>
      </c>
      <c r="L9" s="452">
        <f>transport!L14</f>
        <v>0</v>
      </c>
      <c r="M9" s="452">
        <f>transport!M14</f>
        <v>8049.9632781714117</v>
      </c>
      <c r="N9" s="452">
        <f>transport!N14</f>
        <v>0</v>
      </c>
      <c r="O9" s="452">
        <f>transport!O14</f>
        <v>0</v>
      </c>
      <c r="P9" s="452">
        <f>transport!P14</f>
        <v>0</v>
      </c>
      <c r="Q9" s="451">
        <f>SUM(B9:P9)</f>
        <v>186658.92747880882</v>
      </c>
    </row>
    <row r="10" spans="1:17">
      <c r="A10" s="447" t="s">
        <v>545</v>
      </c>
      <c r="B10" s="448">
        <f>transport!B54</f>
        <v>21.028851224796622</v>
      </c>
      <c r="C10" s="448">
        <f>transport!C54</f>
        <v>0</v>
      </c>
      <c r="D10" s="448">
        <f>transport!D54</f>
        <v>0</v>
      </c>
      <c r="E10" s="448">
        <f>transport!E54</f>
        <v>0</v>
      </c>
      <c r="F10" s="448">
        <f>transport!F54</f>
        <v>0</v>
      </c>
      <c r="G10" s="448">
        <f>transport!G54</f>
        <v>4093.1469014013696</v>
      </c>
      <c r="H10" s="448">
        <f>transport!H54</f>
        <v>0</v>
      </c>
      <c r="I10" s="448">
        <f>transport!I54</f>
        <v>0</v>
      </c>
      <c r="J10" s="448">
        <f>transport!J54</f>
        <v>0</v>
      </c>
      <c r="K10" s="448">
        <f>transport!K54</f>
        <v>0</v>
      </c>
      <c r="L10" s="448">
        <f>transport!L54</f>
        <v>0</v>
      </c>
      <c r="M10" s="448">
        <f>transport!M54</f>
        <v>183.54014638823679</v>
      </c>
      <c r="N10" s="448">
        <f>transport!N54</f>
        <v>0</v>
      </c>
      <c r="O10" s="448">
        <f>transport!O54</f>
        <v>0</v>
      </c>
      <c r="P10" s="449">
        <f>transport!P54</f>
        <v>0</v>
      </c>
      <c r="Q10" s="447">
        <f t="shared" si="0"/>
        <v>4297.7158990144035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1337.8</v>
      </c>
      <c r="C14" s="455"/>
      <c r="D14" s="455">
        <f>'SEAP template'!E25</f>
        <v>11002.258</v>
      </c>
      <c r="E14" s="455"/>
      <c r="F14" s="455"/>
      <c r="G14" s="455"/>
      <c r="H14" s="455"/>
      <c r="I14" s="455"/>
      <c r="J14" s="455"/>
      <c r="K14" s="455"/>
      <c r="L14" s="455"/>
      <c r="M14" s="455"/>
      <c r="N14" s="455"/>
      <c r="O14" s="455"/>
      <c r="P14" s="456"/>
      <c r="Q14" s="447">
        <f t="shared" si="0"/>
        <v>12340.057999999999</v>
      </c>
    </row>
    <row r="15" spans="1:17" s="460" customFormat="1">
      <c r="A15" s="457" t="s">
        <v>549</v>
      </c>
      <c r="B15" s="458">
        <f ca="1">SUM(B4:B14)</f>
        <v>147968.38766371427</v>
      </c>
      <c r="C15" s="458">
        <f t="shared" ref="C15:Q15" ca="1" si="1">SUM(C4:C14)</f>
        <v>19758.214285714286</v>
      </c>
      <c r="D15" s="458">
        <f t="shared" ca="1" si="1"/>
        <v>165534.76210001737</v>
      </c>
      <c r="E15" s="458">
        <f t="shared" si="1"/>
        <v>6316.7790057009679</v>
      </c>
      <c r="F15" s="458">
        <f t="shared" ca="1" si="1"/>
        <v>123301.41838393599</v>
      </c>
      <c r="G15" s="458">
        <f t="shared" si="1"/>
        <v>154581.7819057529</v>
      </c>
      <c r="H15" s="458">
        <f t="shared" si="1"/>
        <v>27536.552798204564</v>
      </c>
      <c r="I15" s="458">
        <f t="shared" si="1"/>
        <v>0</v>
      </c>
      <c r="J15" s="458">
        <f t="shared" si="1"/>
        <v>2080.6012330825774</v>
      </c>
      <c r="K15" s="458">
        <f t="shared" si="1"/>
        <v>0</v>
      </c>
      <c r="L15" s="458">
        <f t="shared" ca="1" si="1"/>
        <v>0</v>
      </c>
      <c r="M15" s="458">
        <f t="shared" si="1"/>
        <v>8233.5034245596489</v>
      </c>
      <c r="N15" s="458">
        <f t="shared" ca="1" si="1"/>
        <v>20168.043645723545</v>
      </c>
      <c r="O15" s="458">
        <f t="shared" si="1"/>
        <v>501.83</v>
      </c>
      <c r="P15" s="458">
        <f t="shared" si="1"/>
        <v>572</v>
      </c>
      <c r="Q15" s="458">
        <f t="shared" ca="1" si="1"/>
        <v>676553.87444640603</v>
      </c>
    </row>
    <row r="17" spans="1:17">
      <c r="A17" s="461" t="s">
        <v>550</v>
      </c>
      <c r="B17" s="731">
        <f ca="1">huishoudens!B10</f>
        <v>0.15848308643927636</v>
      </c>
      <c r="C17" s="731">
        <f ca="1">huishoudens!C10</f>
        <v>5.5947822535355098E-3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7980.5232426698749</v>
      </c>
      <c r="C22" s="448">
        <f t="shared" ref="C22:C32" ca="1" si="3">C4*$C$17</f>
        <v>0</v>
      </c>
      <c r="D22" s="448">
        <f t="shared" ref="D22:D32" si="4">D4*$D$17</f>
        <v>17558.856996472001</v>
      </c>
      <c r="E22" s="448">
        <f t="shared" ref="E22:E32" si="5">E4*$E$17</f>
        <v>776.16469592279725</v>
      </c>
      <c r="F22" s="448">
        <f t="shared" ref="F22:F32" si="6">F4*$F$17</f>
        <v>27977.288060012172</v>
      </c>
      <c r="G22" s="448">
        <f t="shared" ref="G22:G32" si="7">G4*$G$17</f>
        <v>0</v>
      </c>
      <c r="H22" s="448">
        <f t="shared" ref="H22:H32" si="8">H4*$H$17</f>
        <v>0</v>
      </c>
      <c r="I22" s="448">
        <f t="shared" ref="I22:I32" si="9">I4*$I$17</f>
        <v>0</v>
      </c>
      <c r="J22" s="448">
        <f t="shared" ref="J22:J32" si="10">J4*$J$17</f>
        <v>702.47670929519745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54995.309704372041</v>
      </c>
    </row>
    <row r="23" spans="1:17">
      <c r="A23" s="447" t="s">
        <v>149</v>
      </c>
      <c r="B23" s="448">
        <f t="shared" ca="1" si="2"/>
        <v>9814.6141131636141</v>
      </c>
      <c r="C23" s="448">
        <f t="shared" ca="1" si="3"/>
        <v>0</v>
      </c>
      <c r="D23" s="448">
        <f t="shared" ca="1" si="4"/>
        <v>7878.4231588920002</v>
      </c>
      <c r="E23" s="448">
        <f t="shared" si="5"/>
        <v>48.752720786045657</v>
      </c>
      <c r="F23" s="448">
        <f t="shared" ca="1" si="6"/>
        <v>1934.1984517807202</v>
      </c>
      <c r="G23" s="448">
        <f t="shared" si="7"/>
        <v>0</v>
      </c>
      <c r="H23" s="448">
        <f t="shared" si="8"/>
        <v>0</v>
      </c>
      <c r="I23" s="448">
        <f t="shared" si="9"/>
        <v>0</v>
      </c>
      <c r="J23" s="448">
        <f t="shared" si="10"/>
        <v>11.581109404874409</v>
      </c>
      <c r="K23" s="448">
        <f t="shared" si="11"/>
        <v>0</v>
      </c>
      <c r="L23" s="448">
        <f t="shared" ca="1" si="12"/>
        <v>0</v>
      </c>
      <c r="M23" s="448">
        <f t="shared" si="13"/>
        <v>0</v>
      </c>
      <c r="N23" s="448">
        <f t="shared" ca="1" si="14"/>
        <v>0</v>
      </c>
      <c r="O23" s="448">
        <f t="shared" si="15"/>
        <v>0</v>
      </c>
      <c r="P23" s="449">
        <f t="shared" si="16"/>
        <v>0</v>
      </c>
      <c r="Q23" s="447">
        <f t="shared" ref="Q23:Q32" ca="1" si="17">SUM(B23:P23)</f>
        <v>19687.569554027254</v>
      </c>
    </row>
    <row r="24" spans="1:17">
      <c r="A24" s="447" t="s">
        <v>187</v>
      </c>
      <c r="B24" s="448">
        <f t="shared" ca="1" si="2"/>
        <v>248.87486568843627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248.87486568843627</v>
      </c>
    </row>
    <row r="25" spans="1:17">
      <c r="A25" s="447" t="s">
        <v>105</v>
      </c>
      <c r="B25" s="448">
        <f t="shared" ca="1" si="2"/>
        <v>55.325494577432742</v>
      </c>
      <c r="C25" s="448">
        <f t="shared" ca="1" si="3"/>
        <v>108.02525463317509</v>
      </c>
      <c r="D25" s="448">
        <f t="shared" si="4"/>
        <v>12.372667660000003</v>
      </c>
      <c r="E25" s="448">
        <f t="shared" si="5"/>
        <v>1.6454857101104492</v>
      </c>
      <c r="F25" s="448">
        <f t="shared" si="6"/>
        <v>329.39979673041586</v>
      </c>
      <c r="G25" s="448">
        <f t="shared" si="7"/>
        <v>0</v>
      </c>
      <c r="H25" s="448">
        <f t="shared" si="8"/>
        <v>0</v>
      </c>
      <c r="I25" s="448">
        <f t="shared" si="9"/>
        <v>0</v>
      </c>
      <c r="J25" s="448">
        <f t="shared" si="10"/>
        <v>14.173761339247456</v>
      </c>
      <c r="K25" s="448">
        <f t="shared" si="11"/>
        <v>0</v>
      </c>
      <c r="L25" s="448">
        <f t="shared" si="12"/>
        <v>0</v>
      </c>
      <c r="M25" s="448">
        <f t="shared" si="13"/>
        <v>0</v>
      </c>
      <c r="N25" s="448">
        <f t="shared" si="14"/>
        <v>0</v>
      </c>
      <c r="O25" s="448">
        <f t="shared" si="15"/>
        <v>0</v>
      </c>
      <c r="P25" s="449">
        <f t="shared" si="16"/>
        <v>0</v>
      </c>
      <c r="Q25" s="447">
        <f t="shared" ca="1" si="17"/>
        <v>520.94246065038158</v>
      </c>
    </row>
    <row r="26" spans="1:17">
      <c r="A26" s="447" t="s">
        <v>614</v>
      </c>
      <c r="B26" s="448">
        <f t="shared" ca="1" si="2"/>
        <v>5133.3397550217505</v>
      </c>
      <c r="C26" s="448">
        <f t="shared" ca="1" si="3"/>
        <v>2.5176520140909799</v>
      </c>
      <c r="D26" s="448">
        <f t="shared" si="4"/>
        <v>5762.8853653440001</v>
      </c>
      <c r="E26" s="448">
        <f t="shared" si="5"/>
        <v>481.75157565638659</v>
      </c>
      <c r="F26" s="448">
        <f t="shared" si="6"/>
        <v>2680.592399987604</v>
      </c>
      <c r="G26" s="448">
        <f t="shared" si="7"/>
        <v>0</v>
      </c>
      <c r="H26" s="448">
        <f t="shared" si="8"/>
        <v>0</v>
      </c>
      <c r="I26" s="448">
        <f t="shared" si="9"/>
        <v>0</v>
      </c>
      <c r="J26" s="448">
        <f t="shared" si="10"/>
        <v>8.3012564719130371</v>
      </c>
      <c r="K26" s="448">
        <f t="shared" si="11"/>
        <v>0</v>
      </c>
      <c r="L26" s="448">
        <f t="shared" si="12"/>
        <v>0</v>
      </c>
      <c r="M26" s="448">
        <f t="shared" si="13"/>
        <v>0</v>
      </c>
      <c r="N26" s="448">
        <f t="shared" si="14"/>
        <v>0</v>
      </c>
      <c r="O26" s="448">
        <f t="shared" si="15"/>
        <v>0</v>
      </c>
      <c r="P26" s="449">
        <f t="shared" si="16"/>
        <v>0</v>
      </c>
      <c r="Q26" s="447">
        <f t="shared" ca="1" si="17"/>
        <v>14069.388004495748</v>
      </c>
    </row>
    <row r="27" spans="1:17" s="453" customFormat="1">
      <c r="A27" s="451" t="s">
        <v>555</v>
      </c>
      <c r="B27" s="725">
        <f t="shared" ca="1" si="2"/>
        <v>2.4579109828313181</v>
      </c>
      <c r="C27" s="452">
        <f t="shared" ca="1" si="3"/>
        <v>0</v>
      </c>
      <c r="D27" s="452">
        <f t="shared" si="4"/>
        <v>3.0276398355113154</v>
      </c>
      <c r="E27" s="452">
        <f t="shared" si="5"/>
        <v>125.59435621877994</v>
      </c>
      <c r="F27" s="452">
        <f t="shared" si="6"/>
        <v>0</v>
      </c>
      <c r="G27" s="452">
        <f t="shared" si="7"/>
        <v>40180.46554616186</v>
      </c>
      <c r="H27" s="452">
        <f t="shared" si="8"/>
        <v>6856.6016467529362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47168.147099951915</v>
      </c>
    </row>
    <row r="28" spans="1:17">
      <c r="A28" s="447" t="s">
        <v>545</v>
      </c>
      <c r="B28" s="448">
        <f t="shared" ca="1" si="2"/>
        <v>3.3327172463781256</v>
      </c>
      <c r="C28" s="448">
        <f t="shared" ca="1" si="3"/>
        <v>0</v>
      </c>
      <c r="D28" s="448">
        <f t="shared" si="4"/>
        <v>0</v>
      </c>
      <c r="E28" s="448">
        <f t="shared" si="5"/>
        <v>0</v>
      </c>
      <c r="F28" s="448">
        <f t="shared" si="6"/>
        <v>0</v>
      </c>
      <c r="G28" s="448">
        <f t="shared" si="7"/>
        <v>1092.8702226741657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1096.2029399205437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212.0186730384639</v>
      </c>
      <c r="C32" s="448">
        <f t="shared" ca="1" si="3"/>
        <v>0</v>
      </c>
      <c r="D32" s="448">
        <f t="shared" si="4"/>
        <v>2222.4561160000003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2434.4747890384642</v>
      </c>
    </row>
    <row r="33" spans="1:17" s="460" customFormat="1">
      <c r="A33" s="457" t="s">
        <v>549</v>
      </c>
      <c r="B33" s="458">
        <f ca="1">SUM(B22:B32)</f>
        <v>23450.486772388776</v>
      </c>
      <c r="C33" s="458">
        <f t="shared" ref="C33:Q33" ca="1" si="18">SUM(C22:C32)</f>
        <v>110.54290664726608</v>
      </c>
      <c r="D33" s="458">
        <f t="shared" ca="1" si="18"/>
        <v>33438.021944203516</v>
      </c>
      <c r="E33" s="458">
        <f t="shared" si="18"/>
        <v>1433.9088342941197</v>
      </c>
      <c r="F33" s="458">
        <f t="shared" ca="1" si="18"/>
        <v>32921.478708510913</v>
      </c>
      <c r="G33" s="458">
        <f t="shared" si="18"/>
        <v>41273.335768836027</v>
      </c>
      <c r="H33" s="458">
        <f t="shared" si="18"/>
        <v>6856.6016467529362</v>
      </c>
      <c r="I33" s="458">
        <f t="shared" si="18"/>
        <v>0</v>
      </c>
      <c r="J33" s="458">
        <f t="shared" si="18"/>
        <v>736.53283651123229</v>
      </c>
      <c r="K33" s="458">
        <f t="shared" si="18"/>
        <v>0</v>
      </c>
      <c r="L33" s="458">
        <f t="shared" ca="1" si="18"/>
        <v>0</v>
      </c>
      <c r="M33" s="458">
        <f t="shared" si="18"/>
        <v>0</v>
      </c>
      <c r="N33" s="458">
        <f t="shared" ca="1" si="18"/>
        <v>0</v>
      </c>
      <c r="O33" s="458">
        <f t="shared" si="18"/>
        <v>0</v>
      </c>
      <c r="P33" s="458">
        <f t="shared" si="18"/>
        <v>0</v>
      </c>
      <c r="Q33" s="458">
        <f t="shared" ca="1" si="18"/>
        <v>140220.90941814479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14055.438889795494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13494.141260713899</v>
      </c>
      <c r="C8" s="982">
        <f>'SEAP template'!C76</f>
        <v>325.35873928610181</v>
      </c>
      <c r="D8" s="982">
        <f>'SEAP template'!D76</f>
        <v>382.75788788482163</v>
      </c>
      <c r="E8" s="982">
        <f>'SEAP template'!E76</f>
        <v>0</v>
      </c>
      <c r="F8" s="982">
        <f>'SEAP template'!F76</f>
        <v>0</v>
      </c>
      <c r="G8" s="982">
        <f>'SEAP template'!G76</f>
        <v>0</v>
      </c>
      <c r="H8" s="982">
        <f>'SEAP template'!H76</f>
        <v>0</v>
      </c>
      <c r="I8" s="982">
        <f>'SEAP template'!I76</f>
        <v>0</v>
      </c>
      <c r="J8" s="982">
        <f>'SEAP template'!J76</f>
        <v>15874.751110430387</v>
      </c>
      <c r="K8" s="982">
        <f>'SEAP template'!K76</f>
        <v>0</v>
      </c>
      <c r="L8" s="982">
        <f>'SEAP template'!L76</f>
        <v>0</v>
      </c>
      <c r="M8" s="982">
        <f>'SEAP template'!M76</f>
        <v>0</v>
      </c>
      <c r="N8" s="982">
        <f>'SEAP template'!N76</f>
        <v>0</v>
      </c>
      <c r="O8" s="982">
        <f>'SEAP template'!O76</f>
        <v>0</v>
      </c>
      <c r="P8" s="983">
        <f>'SEAP template'!Q76</f>
        <v>77.317093352733977</v>
      </c>
    </row>
    <row r="9" spans="1:16">
      <c r="A9" s="985" t="s">
        <v>821</v>
      </c>
      <c r="B9" s="982">
        <f>'SEAP template'!B77</f>
        <v>14332.5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40950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41882.080150509391</v>
      </c>
      <c r="C10" s="986">
        <f>SUM(C4:C9)</f>
        <v>325.35873928610181</v>
      </c>
      <c r="D10" s="986">
        <f t="shared" ref="D10:H10" si="0">SUM(D8:D9)</f>
        <v>382.75788788482163</v>
      </c>
      <c r="E10" s="986">
        <f t="shared" si="0"/>
        <v>0</v>
      </c>
      <c r="F10" s="986">
        <f t="shared" si="0"/>
        <v>0</v>
      </c>
      <c r="G10" s="986">
        <f t="shared" si="0"/>
        <v>0</v>
      </c>
      <c r="H10" s="986">
        <f t="shared" si="0"/>
        <v>0</v>
      </c>
      <c r="I10" s="986">
        <f>SUM(I8:I9)</f>
        <v>0</v>
      </c>
      <c r="J10" s="986">
        <f>SUM(J8:J9)</f>
        <v>56824.751110430385</v>
      </c>
      <c r="K10" s="986">
        <f t="shared" ref="K10:L10" si="1">SUM(K8:K9)</f>
        <v>0</v>
      </c>
      <c r="L10" s="986">
        <f t="shared" si="1"/>
        <v>0</v>
      </c>
      <c r="M10" s="986">
        <f>SUM(M8:M9)</f>
        <v>0</v>
      </c>
      <c r="N10" s="986">
        <f>SUM(N8:N9)</f>
        <v>0</v>
      </c>
      <c r="O10" s="986">
        <f>SUM(O8:O9)</f>
        <v>0</v>
      </c>
      <c r="P10" s="986">
        <f>SUM(P8:P9)</f>
        <v>77.317093352733977</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0.15848308643927636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19293.037709821914</v>
      </c>
      <c r="C17" s="988">
        <f>'SEAP template'!C87</f>
        <v>465.17657589237285</v>
      </c>
      <c r="D17" s="983">
        <f>'SEAP template'!D87</f>
        <v>547.24211211517854</v>
      </c>
      <c r="E17" s="983">
        <f>'SEAP template'!E87</f>
        <v>0</v>
      </c>
      <c r="F17" s="983">
        <f>'SEAP template'!F87</f>
        <v>0</v>
      </c>
      <c r="G17" s="983">
        <f>'SEAP template'!G87</f>
        <v>0</v>
      </c>
      <c r="H17" s="983">
        <f>'SEAP template'!H87</f>
        <v>0</v>
      </c>
      <c r="I17" s="983">
        <f>'SEAP template'!I87</f>
        <v>0</v>
      </c>
      <c r="J17" s="983">
        <f>'SEAP template'!J87</f>
        <v>22696.677460998184</v>
      </c>
      <c r="K17" s="983">
        <f>'SEAP template'!K87</f>
        <v>0</v>
      </c>
      <c r="L17" s="983">
        <f>'SEAP template'!L87</f>
        <v>0</v>
      </c>
      <c r="M17" s="983">
        <f>'SEAP template'!M87</f>
        <v>0</v>
      </c>
      <c r="N17" s="983">
        <f>'SEAP template'!N87</f>
        <v>0</v>
      </c>
      <c r="O17" s="983">
        <f>'SEAP template'!O87</f>
        <v>0</v>
      </c>
      <c r="P17" s="983">
        <f>'SEAP template'!Q87</f>
        <v>110.54290664726608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19293.037709821914</v>
      </c>
      <c r="C20" s="986">
        <f>SUM(C17:C19)</f>
        <v>465.17657589237285</v>
      </c>
      <c r="D20" s="986">
        <f t="shared" ref="D20:H20" si="2">SUM(D17:D19)</f>
        <v>547.24211211517854</v>
      </c>
      <c r="E20" s="986">
        <f t="shared" si="2"/>
        <v>0</v>
      </c>
      <c r="F20" s="986">
        <f t="shared" si="2"/>
        <v>0</v>
      </c>
      <c r="G20" s="986">
        <f t="shared" si="2"/>
        <v>0</v>
      </c>
      <c r="H20" s="986">
        <f t="shared" si="2"/>
        <v>0</v>
      </c>
      <c r="I20" s="986">
        <f>SUM(I17:I19)</f>
        <v>0</v>
      </c>
      <c r="J20" s="986">
        <f>SUM(J17:J19)</f>
        <v>22696.677460998184</v>
      </c>
      <c r="K20" s="986">
        <f t="shared" ref="K20:L20" si="3">SUM(K17:K19)</f>
        <v>0</v>
      </c>
      <c r="L20" s="986">
        <f t="shared" si="3"/>
        <v>0</v>
      </c>
      <c r="M20" s="986">
        <f>SUM(M17:M19)</f>
        <v>0</v>
      </c>
      <c r="N20" s="986">
        <f>SUM(N17:N19)</f>
        <v>0</v>
      </c>
      <c r="O20" s="986">
        <f>SUM(O17:O19)</f>
        <v>0</v>
      </c>
      <c r="P20" s="986">
        <f>SUM(P17:P19)</f>
        <v>110.54290664726608</v>
      </c>
    </row>
    <row r="22" spans="1:16">
      <c r="A22" s="461" t="s">
        <v>829</v>
      </c>
      <c r="B22" s="731" t="s">
        <v>823</v>
      </c>
      <c r="C22" s="731">
        <f ca="1">'EF ele_warmte'!B22</f>
        <v>5.5947822535355098E-3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0.15848308643927636</v>
      </c>
      <c r="C17" s="498">
        <f ca="1">'EF ele_warmte'!B22</f>
        <v>5.5947822535355098E-3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2022-07-26T12:13:52Z</dcterms:modified>
</cp:coreProperties>
</file>