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5B6578F-9952-4A2C-8DB8-4D3F02442E7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<sst xmlns="http://schemas.openxmlformats.org/spreadsheetml/2006/main" count="2446" uniqueCount="911">
  <si>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</si>
  <si>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</si>
  <si>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</si>
  <si>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</si>
  <si>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</si>
  <si>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</si>
  <si>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</si>
  <si>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</si>
  <si>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</si>
  <si>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</si>
  <si>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</si>
  <si>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</si>
  <si>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</si>
  <si>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</si>
  <si>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</si>
  <si>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</si>
  <si>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</si>
  <si>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</si>
  <si>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</si>
  <si>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</si>
  <si>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</si>
  <si>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</si>
  <si>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</si>
  <si>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</si>
  <si>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</si>
  <si>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</si>
  <si>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</si>
  <si>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</si>
  <si>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</si>
  <si>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</si>
  <si>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</si>
  <si>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</si>
  <si>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</si>
  <si>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</si>
  <si>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</si>
  <si>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</si>
  <si>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</si>
  <si>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</si>
  <si>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</si>
  <si>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</si>
  <si>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</si>
  <si>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</si>
  <si>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</si>
  <si>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</si>
  <si>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</si>
  <si>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</si>
  <si>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</si>
  <si>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</si>
  <si>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</si>
  <si>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</si>
  <si>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</si>
  <si>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</si>
  <si>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</si>
  <si>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</si>
  <si>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</si>
  <si>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</si>
  <si>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</si>
  <si>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</si>
  <si>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</si>
  <si>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</si>
  <si>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</si>
  <si>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</si>
  <si>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</si>
  <si>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</si>
  <si>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</si>
  <si>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</si>
  <si>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</si>
  <si>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</si>
  <si>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</si>
  <si>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</si>
  <si>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</si>
  <si>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</si>
  <si>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</si>
  <si>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</si>
  <si>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</si>
  <si>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</si>
  <si>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</si>
  <si>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</si>
  <si>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</si>
  <si>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</si>
  <si>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</si>
  <si>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</si>
  <si>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</si>
  <si>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</si>
  <si>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</si>
  <si>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</si>
  <si>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</si>
  <si>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</si>
  <si>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</si>
  <si>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</si>
  <si>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</si>
  <si>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</si>
  <si>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</si>
  <si>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</si>
  <si>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</si>
  <si>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</si>
  <si>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</si>
  <si>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</si>
  <si>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</si>
  <si>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</si>
  <si>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</si>
  <si>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</si>
  <si>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</si>
  <si>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</si>
  <si>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</si>
  <si>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</si>
  <si>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</si>
  <si>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</si>
  <si>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</si>
  <si>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</si>
  <si>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</si>
  <si>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</si>
  <si>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</si>
  <si>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</si>
  <si>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</si>
  <si>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</si>
  <si>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</si>
  <si>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</si>
  <si>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</si>
  <si>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</si>
  <si>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</si>
  <si>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</si>
  <si>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</si>
  <si>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</si>
  <si>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</si>
  <si>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</si>
  <si>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</si>
  <si>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</si>
  <si>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</si>
  <si>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</si>
  <si>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</si>
  <si>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</si>
  <si>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</si>
  <si>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</si>
  <si>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</si>
  <si>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</si>
  <si>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</si>
  <si>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</si>
  <si>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</si>
  <si>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</si>
  <si>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</si>
  <si>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</si>
  <si>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</si>
  <si>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</si>
  <si>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</si>
  <si>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</si>
  <si>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</si>
  <si>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</si>
  <si>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</si>
  <si>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</si>
  <si>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</si>
  <si>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</si>
  <si>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</si>
  <si>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</si>
  <si>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</si>
  <si>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</si>
  <si>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</si>
  <si>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</si>
  <si>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</si>
  <si>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</si>
  <si>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</si>
  <si>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</si>
  <si>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</si>
  <si>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</si>
  <si>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</si>
  <si>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</si>
  <si>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</si>
  <si>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</si>
  <si>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</si>
  <si>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</si>
  <si>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</si>
  <si>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</si>
  <si>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</si>
  <si>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</si>
  <si>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</si>
  <si>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</si>
  <si>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</si>
  <si>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</si>
  <si>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</si>
  <si>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</si>
  <si>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</si>
  <si>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</si>
  <si>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</si>
  <si>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</si>
  <si>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</si>
  <si>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</si>
  <si>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</si>
  <si>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</si>
  <si>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</si>
  <si>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</si>
  <si>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</si>
  <si>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</si>
  <si>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</si>
  <si>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</si>
  <si>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</si>
  <si>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</si>
  <si>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</si>
  <si>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</si>
  <si>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</si>
  <si>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</si>
  <si>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</si>
  <si>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</si>
  <si>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</si>
  <si>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</si>
  <si>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</si>
  <si>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</si>
  <si>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</si>
  <si>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</si>
  <si>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</si>
  <si>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</si>
  <si>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</si>
  <si>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</si>
  <si>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</si>
  <si>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</si>
  <si>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</si>
  <si>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</si>
  <si>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</si>
  <si>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</si>
  <si>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</si>
  <si>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</si>
  <si>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</si>
  <si>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</si>
  <si>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</si>
  <si>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</si>
  <si>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</si>
  <si>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</si>
  <si>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</si>
  <si>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</si>
  <si>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</si>
  <si>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</si>
  <si>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</si>
  <si>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</si>
  <si>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</si>
  <si>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</si>
  <si>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</si>
  <si>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</si>
  <si>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</si>
  <si>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</si>
  <si>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</si>
  <si>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</si>
  <si>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</si>
  <si>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</si>
  <si>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</si>
  <si>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</si>
  <si>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</si>
  <si>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</si>
  <si>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</si>
  <si>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</si>
  <si>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</si>
  <si>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</si>
  <si>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</si>
  <si>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</si>
  <si>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</si>
  <si>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</si>
  <si>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</si>
  <si>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</si>
  <si>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</si>
  <si>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</si>
  <si>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</si>
  <si>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</si>
  <si>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</si>
  <si>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</si>
  <si>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</si>
  <si>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</si>
  <si>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</si>
  <si>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</si>
  <si>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</si>
  <si>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</si>
  <si>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</si>
  <si>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</si>
  <si>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</si>
  <si>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</si>
  <si>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</si>
  <si>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</si>
  <si>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</si>
  <si>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</si>
  <si>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</si>
  <si>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</si>
  <si>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</si>
  <si>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</si>
  <si>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</si>
  <si>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</si>
  <si>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</si>
  <si>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</si>
  <si>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</si>
  <si>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</si>
  <si>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</si>
  <si>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</si>
  <si>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</si>
  <si>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</si>
  <si>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</si>
  <si>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</si>
  <si>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</si>
  <si>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</si>
  <si>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</si>
  <si>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</si>
  <si>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</si>
  <si>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</si>
  <si>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</si>
  <si>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</si>
  <si>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</si>
  <si>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</si>
  <si>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</si>
  <si>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</si>
  <si>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</si>
  <si>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</si>
  <si>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</si>
  <si>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</si>
  <si>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</si>
  <si>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</si>
  <si>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</si>
  <si>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</si>
  <si>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</si>
  <si>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</si>
  <si>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</si>
  <si>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</si>
  <si>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</si>
  <si>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</si>
  <si>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</si>
  <si>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</si>
  <si>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</si>
  <si>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</si>
  <si>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</si>
  <si>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</si>
  <si>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</si>
  <si>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</si>
  <si>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</si>
  <si>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</si>
  <si>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</si>
  <si>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</si>
  <si>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</si>
  <si>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</si>
  <si>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</si>
  <si>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</si>
  <si>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</si>
  <si>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</si>
  <si>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</si>
  <si>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</si>
  <si>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</si>
  <si>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</si>
  <si>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</si>
  <si>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</si>
  <si>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</si>
  <si>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</si>
  <si>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</si>
  <si>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</si>
  <si>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</si>
  <si>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</si>
  <si>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</si>
  <si>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</si>
  <si>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</si>
  <si>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</si>
  <si>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</si>
  <si>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</si>
  <si>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</si>
  <si>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</si>
  <si>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</si>
  <si>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</si>
  <si>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</si>
  <si>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</si>
  <si>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</si>
  <si>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</si>
  <si>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</si>
  <si>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</si>
  <si>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</si>
  <si>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</si>
  <si>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</si>
  <si>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</si>
  <si>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</si>
  <si>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</si>
  <si>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</si>
  <si>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</si>
  <si>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</si>
  <si>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</si>
  <si>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</si>
  <si>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</si>
  <si>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</si>
  <si>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</si>
  <si>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</si>
  <si>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</si>
  <si>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</si>
  <si>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</si>
  <si>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</si>
  <si>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</si>
  <si>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</si>
  <si>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</si>
  <si>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</si>
  <si>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</si>
  <si>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</si>
  <si>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</si>
  <si>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</si>
  <si>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</si>
  <si>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</si>
  <si>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</si>
  <si>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</si>
  <si>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</si>
  <si>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</si>
  <si>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</si>
  <si>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</si>
  <si>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</si>
  <si>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</si>
  <si>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</si>
  <si>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</si>
  <si>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</si>
  <si>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</si>
  <si>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</si>
  <si>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</si>
  <si>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</si>
  <si>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</si>
  <si>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</si>
  <si>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</si>
  <si>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</si>
  <si>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</si>
  <si>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</si>
  <si>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</si>
  <si>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</si>
  <si>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</si>
  <si>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</si>
  <si>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</si>
  <si>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</si>
  <si>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</si>
  <si>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</si>
  <si>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</si>
  <si>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</si>
  <si>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</si>
  <si>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</si>
  <si>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</si>
  <si>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</si>
  <si>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</si>
  <si>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</si>
  <si>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</si>
  <si>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</si>
  <si>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</si>
  <si>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</si>
  <si>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</si>
  <si>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</si>
  <si>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</si>
  <si>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</si>
  <si>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</si>
  <si>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</si>
  <si>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</si>
  <si>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</si>
  <si>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</si>
  <si>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</si>
  <si>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</si>
  <si>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</si>
  <si>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</si>
  <si>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</si>
  <si>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</si>
  <si>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</si>
  <si>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</si>
  <si>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</si>
  <si>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</si>
  <si>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</si>
  <si>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</si>
  <si>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</si>
  <si>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</si>
  <si>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</si>
  <si>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</si>
  <si>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</si>
  <si>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</si>
  <si>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</si>
  <si>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</si>
  <si>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</si>
  <si>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</si>
  <si>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</si>
  <si>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</si>
  <si>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</si>
  <si>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</si>
  <si>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</si>
  <si>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</si>
  <si>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</si>
  <si>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</si>
  <si>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</si>
  <si>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</si>
  <si>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</si>
  <si>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</si>
  <si>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</si>
  <si>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</si>
  <si>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</si>
  <si>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</si>
  <si>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</si>
  <si>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</si>
  <si>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</si>
  <si>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</si>
  <si>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</si>
  <si>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</si>
  <si>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</si>
  <si>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</si>
  <si>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</si>
  <si>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</si>
  <si>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</si>
  <si>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</si>
  <si>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</si>
  <si>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</si>
  <si>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</si>
  <si>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</si>
  <si>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</si>
  <si>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</si>
  <si>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</si>
  <si>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</si>
  <si>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</si>
  <si>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</si>
  <si>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</si>
  <si>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</si>
  <si>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</si>
  <si>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</si>
  <si>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</si>
  <si>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</si>
  <si>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</si>
  <si>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</si>
  <si>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</si>
  <si>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</si>
  <si>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</si>
  <si>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</si>
  <si>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</si>
  <si>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</si>
  <si>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</si>
  <si>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</si>
  <si>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</si>
  <si>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</si>
  <si>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</si>
  <si>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</si>
  <si>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</si>
  <si>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</si>
  <si>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</si>
  <si>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</si>
  <si>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</si>
  <si>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</si>
  <si>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</si>
  <si>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</si>
  <si>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</si>
  <si>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</si>
  <si>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</si>
  <si>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</si>
  <si>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</si>
  <si>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</si>
  <si>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</si>
  <si>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</si>
  <si>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</si>
  <si>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</si>
  <si>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</si>
  <si>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</si>
  <si>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</si>
  <si>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</si>
  <si>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</si>
  <si>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</si>
  <si>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</si>
  <si>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</si>
  <si>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</si>
  <si>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</si>
  <si>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</si>
  <si>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</si>
  <si>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</si>
  <si>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</si>
  <si>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</si>
  <si>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</si>
  <si>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</si>
  <si>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</si>
  <si>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</si>
  <si>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</si>
  <si>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</si>
  <si>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</si>
  <si>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</si>
  <si>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</si>
  <si>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</si>
  <si>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</si>
  <si>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</si>
  <si>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</si>
  <si>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</si>
  <si>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</si>
  <si>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</si>
  <si>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</si>
  <si>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</si>
  <si>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</si>
  <si>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</si>
  <si>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</si>
  <si>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</si>
  <si>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</si>
  <si>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</si>
  <si>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</si>
  <si>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</si>
  <si>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</si>
  <si>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</si>
  <si>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</si>
  <si>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</si>
  <si>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</si>
  <si>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</si>
  <si>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</si>
  <si>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</si>
  <si>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</si>
  <si>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</si>
  <si>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</si>
  <si>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</si>
  <si>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</si>
  <si>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</si>
  <si>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</si>
  <si>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</si>
  <si>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</si>
  <si>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</si>
  <si>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</si>
  <si>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</si>
  <si>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</si>
  <si>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</si>
  <si>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</si>
  <si>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</si>
  <si>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</si>
  <si>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</si>
  <si>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</si>
  <si>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</si>
  <si>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</si>
  <si>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</si>
  <si>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</si>
  <si>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</si>
  <si>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</si>
  <si>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</si>
  <si>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</si>
  <si>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</si>
  <si>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</si>
  <si>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</si>
  <si>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</si>
  <si>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</si>
  <si>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</si>
  <si>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</si>
  <si>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</si>
  <si>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</si>
  <si>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</si>
  <si>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</si>
  <si>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</si>
  <si>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</si>
  <si>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</si>
  <si>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</si>
  <si>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</si>
  <si>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</si>
  <si>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</si>
  <si>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</si>
  <si>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</si>
  <si>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</si>
  <si>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</si>
  <si>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</si>
  <si>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</si>
  <si>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</si>
  <si>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</si>
  <si>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</si>
  <si>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</si>
  <si>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</si>
  <si>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</si>
  <si>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</si>
  <si>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</si>
  <si>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</si>
  <si>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</si>
  <si>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</si>
  <si>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</si>
  <si>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</si>
  <si>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</si>
  <si>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</si>
  <si>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</si>
  <si>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</si>
  <si>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</si>
  <si>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</si>
  <si>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</si>
  <si>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</si>
  <si>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</si>
  <si>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</si>
  <si>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</si>
  <si>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</si>
  <si>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</si>
  <si>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</si>
  <si>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</si>
  <si>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</si>
  <si>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</si>
  <si>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</si>
  <si>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</si>
  <si>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</si>
  <si>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</si>
  <si>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</si>
  <si>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</si>
  <si>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</si>
  <si>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</si>
  <si>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</si>
  <si>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</si>
  <si>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</si>
  <si>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</si>
  <si>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</si>
  <si>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</si>
  <si>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</si>
  <si>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</si>
  <si>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</si>
  <si>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</si>
  <si>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</si>
  <si>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</si>
  <si>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</si>
  <si>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</si>
  <si>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</si>
  <si>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</si>
  <si>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</si>
  <si>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</si>
  <si>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</si>
  <si>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</si>
  <si>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</si>
  <si>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</si>
  <si>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</si>
  <si>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</si>
  <si>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</si>
  <si>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</si>
  <si>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</si>
  <si>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</si>
  <si>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</si>
  <si>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</si>
  <si>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</si>
  <si>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</si>
  <si>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</si>
  <si>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</si>
  <si>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</si>
  <si>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</si>
  <si>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</si>
  <si>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</si>
  <si>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</si>
  <si>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</si>
  <si>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</si>
  <si>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</si>
  <si>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</si>
  <si>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</si>
  <si>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</si>
  <si>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</si>
  <si>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</si>
  <si>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</si>
  <si>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</si>
  <si>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</si>
  <si>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</si>
  <si>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</si>
  <si>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</si>
  <si>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</si>
  <si>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</si>
  <si>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</si>
  <si>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</si>
  <si>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</si>
  <si>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</si>
  <si>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</si>
  <si>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</si>
  <si>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</si>
  <si>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</si>
  <si>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</si>
  <si>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</si>
  <si>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</si>
  <si>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</si>
  <si>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</si>
  <si>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</si>
  <si>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</si>
  <si>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</si>
  <si>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</si>
  <si>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</si>
  <si>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</si>
  <si>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</si>
  <si>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</si>
  <si>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</si>
  <si>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</si>
  <si>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</si>
  <si>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</si>
  <si>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</si>
  <si>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</si>
  <si>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</si>
  <si>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</si>
  <si>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</si>
  <si>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</si>
  <si>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</si>
  <si>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</si>
  <si>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</si>
  <si>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</si>
  <si>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</si>
  <si>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</si>
  <si>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</si>
  <si>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</si>
  <si>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</si>
  <si>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</si>
  <si>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</si>
  <si>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</si>
  <si>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</si>
  <si>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</si>
  <si>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</si>
  <si>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</si>
  <si>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</si>
  <si>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</si>
  <si>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</si>
  <si>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</si>
  <si>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</si>
  <si>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</si>
  <si>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</si>
  <si>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</si>
  <si>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</si>
  <si>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</si>
  <si>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</si>
  <si>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</si>
  <si>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</si>
  <si>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</si>
  <si>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</si>
  <si>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</si>
  <si>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</si>
  <si>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</si>
  <si>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</si>
  <si>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</si>
  <si>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</si>
  <si>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</si>
  <si>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</si>
  <si>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</si>
  <si>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</si>
  <si>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</si>
  <si>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</si>
  <si>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</si>
  <si>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</si>
  <si>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</si>
  <si>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</si>
  <si>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</si>
  <si>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</si>
  <si>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</si>
  <si>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</si>
  <si>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</si>
  <si>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</si>
  <si>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</si>
  <si>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</si>
  <si>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</si>
  <si>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</si>
  <si>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</si>
  <si>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</si>
  <si>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</si>
  <si>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</si>
  <si>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</si>
  <si>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</si>
  <si>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</si>
  <si>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</si>
  <si>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</si>
  <si>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</si>
  <si>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</si>
  <si>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</si>
  <si>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</si>
  <si>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</si>
  <si>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</si>
  <si>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</si>
  <si>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</si>
  <si>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</si>
  <si>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</si>
  <si>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</si>
  <si>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</si>
  <si>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</si>
  <si>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</si>
  <si>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</si>
  <si>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</si>
  <si>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</si>
  <si>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</si>
  <si>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</si>
  <si>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</si>
  <si>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</si>
  <si>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</si>
  <si>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</si>
  <si>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</si>
  <si>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</si>
  <si>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</si>
  <si>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</si>
  <si>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</si>
  <si>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</si>
  <si>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</si>
  <si>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</si>
  <si>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</si>
  <si>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</si>
  <si>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</si>
  <si>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</si>
  <si>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</si>
  <si>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</si>
  <si>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</si>
  <si>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</si>
  <si>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</si>
  <si>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</si>
  <si>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</si>
  <si>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</si>
  <si>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</si>
  <si>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</si>
  <si>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</si>
  <si>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</si>
  <si>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</si>
  <si>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</si>
  <si>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</si>
  <si>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</si>
  <si>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</si>
  <si>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</si>
  <si>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</si>
  <si>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</si>
  <si>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</si>
  <si>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</si>
  <si>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</si>
  <si>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</si>
  <si>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</si>
  <si>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</si>
  <si>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</si>
  <si>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</si>
  <si>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</si>
  <si>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</si>
  <si>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</si>
  <si>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</si>
  <si>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</si>
  <si>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</si>
  <si>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</si>
  <si>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</si>
  <si>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71024</t>
  </si>
  <si>
    <t>HERK-DE-STAD</t>
  </si>
  <si>
    <t>Cultuurgrond (ha)</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</si>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</sst>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61DEB40-ACEA-485F-9B52-6422CC8D002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123265.62125269152</c:v>
                </c:pt>
                <c:pt idx="1">
                  <c:v>22380.551444161432</c:v>
                </c:pt>
                <c:pt idx="2">
                  <c:v>910.76</c:v>
                </c:pt>
                <c:pt idx="3">
                  <c:v>23396.446330658746</c:v>
                </c:pt>
                <c:pt idx="4">
                  <c:v>13093.454315198029</c:v>
                </c:pt>
                <c:pt idx="5">
                  <c:v>67970.019567196767</c:v>
                </c:pt>
                <c:pt idx="6">
                  <c:v>1186.7347149940956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123265.62125269152</c:v>
                </c:pt>
                <c:pt idx="1">
                  <c:v>22380.551444161432</c:v>
                </c:pt>
                <c:pt idx="2">
                  <c:v>910.76</c:v>
                </c:pt>
                <c:pt idx="3">
                  <c:v>23396.446330658746</c:v>
                </c:pt>
                <c:pt idx="4">
                  <c:v>13093.454315198029</c:v>
                </c:pt>
                <c:pt idx="5">
                  <c:v>67970.019567196767</c:v>
                </c:pt>
                <c:pt idx="6">
                  <c:v>1186.7347149940956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25966.094466174884</c:v>
                </c:pt>
                <c:pt idx="2">
                  <c:v>4061.8065198023137</c:v>
                </c:pt>
                <c:pt idx="3">
                  <c:v>153.77840748517914</c:v>
                </c:pt>
                <c:pt idx="4">
                  <c:v>4032.5261178700248</c:v>
                </c:pt>
                <c:pt idx="5">
                  <c:v>2625.9817787926827</c:v>
                </c:pt>
                <c:pt idx="6">
                  <c:v>17175.600990170769</c:v>
                </c:pt>
                <c:pt idx="7">
                  <c:v>302.75633234872225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25966.094466174884</c:v>
                </c:pt>
                <c:pt idx="2">
                  <c:v>4061.8065198023137</c:v>
                </c:pt>
                <c:pt idx="3">
                  <c:v>153.77840748517914</c:v>
                </c:pt>
                <c:pt idx="4">
                  <c:v>4032.5261178700248</c:v>
                </c:pt>
                <c:pt idx="5">
                  <c:v>2625.9817787926827</c:v>
                </c:pt>
                <c:pt idx="6">
                  <c:v>17175.600990170769</c:v>
                </c:pt>
                <c:pt idx="7">
                  <c:v>302.75633234872225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71024</v>
      </c>
      <c r="B6" s="385"/>
      <c r="C6" s="386"/>
    </row>
    <row r="7" spans="1:7" s="383" customFormat="1" ht="15.75" customHeight="1">
      <c r="A7" s="387" t="str">
        <f>txtMunicipality</f>
        <v>HERK-DE-STAD</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0.16884624652507702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0.16884624652507702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5007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2204</v>
      </c>
      <c r="C14" s="327"/>
      <c r="D14" s="327"/>
      <c r="E14" s="327"/>
      <c r="F14" s="327"/>
    </row>
    <row r="15" spans="1:6">
      <c r="A15" s="1258" t="s">
        <v>177</v>
      </c>
      <c r="B15" s="1259">
        <v>554</v>
      </c>
      <c r="C15" s="327"/>
      <c r="D15" s="327"/>
      <c r="E15" s="327"/>
      <c r="F15" s="327"/>
    </row>
    <row r="16" spans="1:6">
      <c r="A16" s="1258" t="s">
        <v>6</v>
      </c>
      <c r="B16" s="1259">
        <v>201</v>
      </c>
      <c r="C16" s="327"/>
      <c r="D16" s="327"/>
      <c r="E16" s="327"/>
      <c r="F16" s="327"/>
    </row>
    <row r="17" spans="1:6">
      <c r="A17" s="1258" t="s">
        <v>7</v>
      </c>
      <c r="B17" s="1259">
        <v>531</v>
      </c>
      <c r="C17" s="327"/>
      <c r="D17" s="327"/>
      <c r="E17" s="327"/>
      <c r="F17" s="327"/>
    </row>
    <row r="18" spans="1:6">
      <c r="A18" s="1258" t="s">
        <v>8</v>
      </c>
      <c r="B18" s="1259">
        <v>565</v>
      </c>
      <c r="C18" s="327"/>
      <c r="D18" s="327"/>
      <c r="E18" s="327"/>
      <c r="F18" s="327"/>
    </row>
    <row r="19" spans="1:6">
      <c r="A19" s="1258" t="s">
        <v>9</v>
      </c>
      <c r="B19" s="1259">
        <v>469</v>
      </c>
      <c r="C19" s="327"/>
      <c r="D19" s="327"/>
      <c r="E19" s="327"/>
      <c r="F19" s="327"/>
    </row>
    <row r="20" spans="1:6">
      <c r="A20" s="1258" t="s">
        <v>10</v>
      </c>
      <c r="B20" s="1259">
        <v>362</v>
      </c>
      <c r="C20" s="327"/>
      <c r="D20" s="327"/>
      <c r="E20" s="327"/>
      <c r="F20" s="327"/>
    </row>
    <row r="21" spans="1:6">
      <c r="A21" s="1258" t="s">
        <v>11</v>
      </c>
      <c r="B21" s="1259">
        <v>36</v>
      </c>
      <c r="C21" s="327"/>
      <c r="D21" s="327"/>
      <c r="E21" s="327"/>
      <c r="F21" s="327"/>
    </row>
    <row r="22" spans="1:6">
      <c r="A22" s="1258" t="s">
        <v>12</v>
      </c>
      <c r="B22" s="1259">
        <v>3913</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9</v>
      </c>
      <c r="C25" s="327"/>
      <c r="D25" s="327"/>
      <c r="E25" s="327"/>
      <c r="F25" s="327"/>
    </row>
    <row r="26" spans="1:6">
      <c r="A26" s="1258" t="s">
        <v>16</v>
      </c>
      <c r="B26" s="1259">
        <v>447</v>
      </c>
      <c r="C26" s="327"/>
      <c r="D26" s="327"/>
      <c r="E26" s="327"/>
      <c r="F26" s="327"/>
    </row>
    <row r="27" spans="1:6">
      <c r="A27" s="1258" t="s">
        <v>17</v>
      </c>
      <c r="B27" s="1259">
        <v>0</v>
      </c>
      <c r="C27" s="327"/>
      <c r="D27" s="327"/>
      <c r="E27" s="327"/>
      <c r="F27" s="327"/>
    </row>
    <row r="28" spans="1:6">
      <c r="A28" s="1258" t="s">
        <v>18</v>
      </c>
      <c r="B28" s="1260">
        <v>76926</v>
      </c>
      <c r="C28" s="327"/>
      <c r="D28" s="327"/>
      <c r="E28" s="327"/>
      <c r="F28" s="327"/>
    </row>
    <row r="29" spans="1:6">
      <c r="A29" s="1258" t="s">
        <v>905</v>
      </c>
      <c r="B29" s="1260">
        <v>55</v>
      </c>
      <c r="C29" s="327"/>
      <c r="D29" s="327"/>
      <c r="E29" s="327"/>
      <c r="F29" s="327"/>
    </row>
    <row r="30" spans="1:6">
      <c r="A30" s="1253" t="s">
        <v>906</v>
      </c>
      <c r="B30" s="1261">
        <v>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16408</v>
      </c>
    </row>
    <row r="39" spans="1:6">
      <c r="A39" s="1258" t="s">
        <v>29</v>
      </c>
      <c r="B39" s="1258" t="s">
        <v>30</v>
      </c>
      <c r="C39" s="1259">
        <v>2019</v>
      </c>
      <c r="D39" s="1259">
        <v>37020227</v>
      </c>
      <c r="E39" s="1259">
        <v>5038</v>
      </c>
      <c r="F39" s="1259">
        <v>20334556</v>
      </c>
    </row>
    <row r="40" spans="1:6">
      <c r="A40" s="1258" t="s">
        <v>29</v>
      </c>
      <c r="B40" s="1258" t="s">
        <v>28</v>
      </c>
      <c r="C40" s="1259">
        <v>0</v>
      </c>
      <c r="D40" s="1259">
        <v>0</v>
      </c>
      <c r="E40" s="1259">
        <v>0</v>
      </c>
      <c r="F40" s="1259">
        <v>0</v>
      </c>
    </row>
    <row r="41" spans="1:6">
      <c r="A41" s="1258" t="s">
        <v>31</v>
      </c>
      <c r="B41" s="1258" t="s">
        <v>32</v>
      </c>
      <c r="C41" s="1259">
        <v>29</v>
      </c>
      <c r="D41" s="1259">
        <v>886534</v>
      </c>
      <c r="E41" s="1259">
        <v>91</v>
      </c>
      <c r="F41" s="1259">
        <v>1504201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7</v>
      </c>
      <c r="D44" s="1259">
        <v>255324</v>
      </c>
      <c r="E44" s="1259">
        <v>23</v>
      </c>
      <c r="F44" s="1259">
        <v>1018393</v>
      </c>
    </row>
    <row r="45" spans="1:6">
      <c r="A45" s="1258" t="s">
        <v>31</v>
      </c>
      <c r="B45" s="1258" t="s">
        <v>36</v>
      </c>
      <c r="C45" s="1259">
        <v>0</v>
      </c>
      <c r="D45" s="1259">
        <v>0</v>
      </c>
      <c r="E45" s="1259">
        <v>7</v>
      </c>
      <c r="F45" s="1259">
        <v>700825</v>
      </c>
    </row>
    <row r="46" spans="1:6">
      <c r="A46" s="1258" t="s">
        <v>31</v>
      </c>
      <c r="B46" s="1258" t="s">
        <v>37</v>
      </c>
      <c r="C46" s="1259">
        <v>0</v>
      </c>
      <c r="D46" s="1259">
        <v>0</v>
      </c>
      <c r="E46" s="1259">
        <v>0</v>
      </c>
      <c r="F46" s="1259">
        <v>0</v>
      </c>
    </row>
    <row r="47" spans="1:6">
      <c r="A47" s="1258" t="s">
        <v>31</v>
      </c>
      <c r="B47" s="1258" t="s">
        <v>38</v>
      </c>
      <c r="C47" s="1259">
        <v>3</v>
      </c>
      <c r="D47" s="1259">
        <v>116842</v>
      </c>
      <c r="E47" s="1259">
        <v>6</v>
      </c>
      <c r="F47" s="1259">
        <v>63039</v>
      </c>
    </row>
    <row r="48" spans="1:6">
      <c r="A48" s="1258" t="s">
        <v>31</v>
      </c>
      <c r="B48" s="1258" t="s">
        <v>28</v>
      </c>
      <c r="C48" s="1259">
        <v>4</v>
      </c>
      <c r="D48" s="1259">
        <v>172355</v>
      </c>
      <c r="E48" s="1259">
        <v>2</v>
      </c>
      <c r="F48" s="1259">
        <v>50159</v>
      </c>
    </row>
    <row r="49" spans="1:6">
      <c r="A49" s="1258" t="s">
        <v>31</v>
      </c>
      <c r="B49" s="1258" t="s">
        <v>39</v>
      </c>
      <c r="C49" s="1259">
        <v>0</v>
      </c>
      <c r="D49" s="1259">
        <v>0</v>
      </c>
      <c r="E49" s="1259">
        <v>0</v>
      </c>
      <c r="F49" s="1259">
        <v>0</v>
      </c>
    </row>
    <row r="50" spans="1:6">
      <c r="A50" s="1258" t="s">
        <v>31</v>
      </c>
      <c r="B50" s="1258" t="s">
        <v>40</v>
      </c>
      <c r="C50" s="1259">
        <v>5</v>
      </c>
      <c r="D50" s="1259">
        <v>246247</v>
      </c>
      <c r="E50" s="1259">
        <v>10</v>
      </c>
      <c r="F50" s="1259">
        <v>2121757</v>
      </c>
    </row>
    <row r="51" spans="1:6">
      <c r="A51" s="1258" t="s">
        <v>41</v>
      </c>
      <c r="B51" s="1258" t="s">
        <v>42</v>
      </c>
      <c r="C51" s="1259">
        <v>10</v>
      </c>
      <c r="D51" s="1259">
        <v>4210469</v>
      </c>
      <c r="E51" s="1259">
        <v>85</v>
      </c>
      <c r="F51" s="1259">
        <v>2820447</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88</v>
      </c>
      <c r="F54" s="1259">
        <v>910760</v>
      </c>
    </row>
    <row r="55" spans="1:6">
      <c r="A55" s="1258" t="s">
        <v>45</v>
      </c>
      <c r="B55" s="1258" t="s">
        <v>28</v>
      </c>
      <c r="C55" s="1259">
        <v>0</v>
      </c>
      <c r="D55" s="1259">
        <v>0</v>
      </c>
      <c r="E55" s="1259">
        <v>0</v>
      </c>
      <c r="F55" s="1259">
        <v>0</v>
      </c>
    </row>
    <row r="56" spans="1:6">
      <c r="A56" s="1258" t="s">
        <v>47</v>
      </c>
      <c r="B56" s="1258" t="s">
        <v>28</v>
      </c>
      <c r="C56" s="1259">
        <v>64</v>
      </c>
      <c r="D56" s="1259">
        <v>5048164</v>
      </c>
      <c r="E56" s="1259">
        <v>85</v>
      </c>
      <c r="F56" s="1259">
        <v>375780</v>
      </c>
    </row>
    <row r="57" spans="1:6">
      <c r="A57" s="1258" t="s">
        <v>48</v>
      </c>
      <c r="B57" s="1258" t="s">
        <v>49</v>
      </c>
      <c r="C57" s="1259">
        <v>10</v>
      </c>
      <c r="D57" s="1259">
        <v>256263</v>
      </c>
      <c r="E57" s="1259">
        <v>54</v>
      </c>
      <c r="F57" s="1259">
        <v>942080</v>
      </c>
    </row>
    <row r="58" spans="1:6">
      <c r="A58" s="1258" t="s">
        <v>48</v>
      </c>
      <c r="B58" s="1258" t="s">
        <v>50</v>
      </c>
      <c r="C58" s="1259">
        <v>13</v>
      </c>
      <c r="D58" s="1259">
        <v>947482</v>
      </c>
      <c r="E58" s="1259">
        <v>26</v>
      </c>
      <c r="F58" s="1259">
        <v>1090233</v>
      </c>
    </row>
    <row r="59" spans="1:6">
      <c r="A59" s="1258" t="s">
        <v>48</v>
      </c>
      <c r="B59" s="1258" t="s">
        <v>51</v>
      </c>
      <c r="C59" s="1259">
        <v>42</v>
      </c>
      <c r="D59" s="1259">
        <v>2202196</v>
      </c>
      <c r="E59" s="1259">
        <v>153</v>
      </c>
      <c r="F59" s="1259">
        <v>5568475</v>
      </c>
    </row>
    <row r="60" spans="1:6">
      <c r="A60" s="1258" t="s">
        <v>48</v>
      </c>
      <c r="B60" s="1258" t="s">
        <v>52</v>
      </c>
      <c r="C60" s="1259">
        <v>14</v>
      </c>
      <c r="D60" s="1259">
        <v>634935</v>
      </c>
      <c r="E60" s="1259">
        <v>39</v>
      </c>
      <c r="F60" s="1259">
        <v>656655</v>
      </c>
    </row>
    <row r="61" spans="1:6">
      <c r="A61" s="1258" t="s">
        <v>48</v>
      </c>
      <c r="B61" s="1258" t="s">
        <v>53</v>
      </c>
      <c r="C61" s="1259">
        <v>46</v>
      </c>
      <c r="D61" s="1259">
        <v>1232331</v>
      </c>
      <c r="E61" s="1259">
        <v>219</v>
      </c>
      <c r="F61" s="1259">
        <v>4135647</v>
      </c>
    </row>
    <row r="62" spans="1:6">
      <c r="A62" s="1258" t="s">
        <v>48</v>
      </c>
      <c r="B62" s="1258" t="s">
        <v>54</v>
      </c>
      <c r="C62" s="1259">
        <v>7</v>
      </c>
      <c r="D62" s="1259">
        <v>2211147</v>
      </c>
      <c r="E62" s="1259">
        <v>19</v>
      </c>
      <c r="F62" s="1259">
        <v>832696</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30335</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22452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53981713</v>
      </c>
      <c r="E73" s="446"/>
      <c r="F73" s="327"/>
    </row>
    <row r="74" spans="1:6">
      <c r="A74" s="1258" t="s">
        <v>63</v>
      </c>
      <c r="B74" s="1258" t="s">
        <v>681</v>
      </c>
      <c r="C74" s="1271" t="s">
        <v>682</v>
      </c>
      <c r="D74" s="1259">
        <v>5660793.2159723062</v>
      </c>
      <c r="E74" s="446"/>
      <c r="F74" s="327"/>
    </row>
    <row r="75" spans="1:6">
      <c r="A75" s="1258" t="s">
        <v>64</v>
      </c>
      <c r="B75" s="1258" t="s">
        <v>679</v>
      </c>
      <c r="C75" s="1271" t="s">
        <v>683</v>
      </c>
      <c r="D75" s="1259">
        <v>18969061</v>
      </c>
      <c r="E75" s="446"/>
      <c r="F75" s="327"/>
    </row>
    <row r="76" spans="1:6">
      <c r="A76" s="1258" t="s">
        <v>64</v>
      </c>
      <c r="B76" s="1258" t="s">
        <v>681</v>
      </c>
      <c r="C76" s="1271" t="s">
        <v>684</v>
      </c>
      <c r="D76" s="1259">
        <v>558549.21597230621</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314093.56805538764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3791.8019345628559</v>
      </c>
      <c r="C91" s="327"/>
      <c r="D91" s="327"/>
      <c r="E91" s="327"/>
      <c r="F91" s="327"/>
    </row>
    <row r="92" spans="1:6">
      <c r="A92" s="1253" t="s">
        <v>68</v>
      </c>
      <c r="B92" s="1254">
        <v>2782.9204771910331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593</v>
      </c>
      <c r="C97" s="327"/>
      <c r="D97" s="327"/>
      <c r="E97" s="327"/>
      <c r="F97" s="327"/>
    </row>
    <row r="98" spans="1:6">
      <c r="A98" s="1258" t="s">
        <v>71</v>
      </c>
      <c r="B98" s="1259">
        <v>3</v>
      </c>
      <c r="C98" s="327"/>
      <c r="D98" s="327"/>
      <c r="E98" s="327"/>
      <c r="F98" s="327"/>
    </row>
    <row r="99" spans="1:6">
      <c r="A99" s="1258" t="s">
        <v>72</v>
      </c>
      <c r="B99" s="1259">
        <v>14</v>
      </c>
      <c r="C99" s="327"/>
      <c r="D99" s="327"/>
      <c r="E99" s="327"/>
      <c r="F99" s="327"/>
    </row>
    <row r="100" spans="1:6">
      <c r="A100" s="1258" t="s">
        <v>73</v>
      </c>
      <c r="B100" s="1259">
        <v>235</v>
      </c>
      <c r="C100" s="327"/>
      <c r="D100" s="327"/>
      <c r="E100" s="327"/>
      <c r="F100" s="327"/>
    </row>
    <row r="101" spans="1:6">
      <c r="A101" s="1258" t="s">
        <v>74</v>
      </c>
      <c r="B101" s="1259">
        <v>54</v>
      </c>
      <c r="C101" s="327"/>
      <c r="D101" s="327"/>
      <c r="E101" s="327"/>
      <c r="F101" s="327"/>
    </row>
    <row r="102" spans="1:6">
      <c r="A102" s="1258" t="s">
        <v>75</v>
      </c>
      <c r="B102" s="1259">
        <v>46</v>
      </c>
      <c r="C102" s="327"/>
      <c r="D102" s="327"/>
      <c r="E102" s="327"/>
      <c r="F102" s="327"/>
    </row>
    <row r="103" spans="1:6">
      <c r="A103" s="1258" t="s">
        <v>76</v>
      </c>
      <c r="B103" s="1259">
        <v>114</v>
      </c>
      <c r="C103" s="327"/>
      <c r="D103" s="327"/>
      <c r="E103" s="327"/>
      <c r="F103" s="327"/>
    </row>
    <row r="104" spans="1:6">
      <c r="A104" s="1258" t="s">
        <v>77</v>
      </c>
      <c r="B104" s="1259">
        <v>3288</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12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121</v>
      </c>
      <c r="C129" s="327"/>
      <c r="D129" s="327"/>
      <c r="E129" s="327"/>
      <c r="F129" s="327"/>
    </row>
    <row r="130" spans="1:6">
      <c r="A130" s="1258" t="s">
        <v>284</v>
      </c>
      <c r="B130" s="1259">
        <v>3</v>
      </c>
      <c r="C130" s="327"/>
      <c r="D130" s="327"/>
      <c r="E130" s="327"/>
      <c r="F130" s="327"/>
    </row>
    <row r="131" spans="1:6">
      <c r="A131" s="1258" t="s">
        <v>285</v>
      </c>
      <c r="B131" s="1259">
        <v>2</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46928.81125371821</v>
      </c>
      <c r="C3" s="43" t="s">
        <v>163</v>
      </c>
      <c r="D3" s="43"/>
      <c r="E3" s="156"/>
      <c r="F3" s="43"/>
      <c r="G3" s="43"/>
      <c r="H3" s="43"/>
      <c r="I3" s="43"/>
      <c r="J3" s="43"/>
      <c r="K3" s="96"/>
    </row>
    <row r="4" spans="1:11">
      <c r="A4" s="353" t="s">
        <v>164</v>
      </c>
      <c r="B4" s="49">
        <f>IF(ISERROR('SEAP template'!B78+'SEAP template'!C78),0,'SEAP template'!B78+'SEAP template'!C78)</f>
        <v>11074.72241175389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0.16884624652507702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6428.5714285714284</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910.76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910.76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0.16884624652507702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153.77840748517914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20334.556</v>
      </c>
      <c r="C5" s="17">
        <f>IF(ISERROR('Eigen informatie GS &amp; warmtenet'!B57),0,'Eigen informatie GS &amp; warmtenet'!B57)</f>
        <v>0</v>
      </c>
      <c r="D5" s="30">
        <f>(SUM(HH_hh_gas_kWh,HH_rest_gas_kWh)/1000)*0.902</f>
        <v>33392.244753999999</v>
      </c>
      <c r="E5" s="17">
        <f>B32*B41</f>
        <v>1758.2803245050111</v>
      </c>
      <c r="F5" s="17">
        <f>B36*B45</f>
        <v>53883.331783070862</v>
      </c>
      <c r="G5" s="18"/>
      <c r="H5" s="17"/>
      <c r="I5" s="17"/>
      <c r="J5" s="17">
        <f>B35*B44+C35*C44</f>
        <v>1020.4430128612246</v>
      </c>
      <c r="K5" s="17"/>
      <c r="L5" s="17"/>
      <c r="M5" s="17"/>
      <c r="N5" s="17">
        <f>B34*B43+C34*C43</f>
        <v>8362.2401103582288</v>
      </c>
      <c r="O5" s="17">
        <f>B52*B53*B54</f>
        <v>207.92333333333335</v>
      </c>
      <c r="P5" s="17">
        <f>B60*B61*B62/1000-B60*B61*B62/1000/B63</f>
        <v>514.79999999999995</v>
      </c>
    </row>
    <row r="6" spans="1:16">
      <c r="A6" s="16" t="s">
        <v>592</v>
      </c>
      <c r="B6" s="733">
        <f>kWh_PV_kleiner_dan_10kW</f>
        <v>3791.8019345628559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24126.357934562857</v>
      </c>
      <c r="C8" s="21">
        <f>C5</f>
        <v>0</v>
      </c>
      <c r="D8" s="21">
        <f>D5</f>
        <v>33392.244753999999</v>
      </c>
      <c r="E8" s="21">
        <f>E5</f>
        <v>1758.2803245050111</v>
      </c>
      <c r="F8" s="21">
        <f>F5</f>
        <v>53883.331783070862</v>
      </c>
      <c r="G8" s="21"/>
      <c r="H8" s="21"/>
      <c r="I8" s="21"/>
      <c r="J8" s="21">
        <f>J5</f>
        <v>1020.4430128612246</v>
      </c>
      <c r="K8" s="21"/>
      <c r="L8" s="21">
        <f>L5</f>
        <v>0</v>
      </c>
      <c r="M8" s="21">
        <f>M5</f>
        <v>0</v>
      </c>
      <c r="N8" s="21">
        <f>N5</f>
        <v>8362.2401103582288</v>
      </c>
      <c r="O8" s="21">
        <f>O5</f>
        <v>207.92333333333335</v>
      </c>
      <c r="P8" s="21">
        <f>P5</f>
        <v>514.79999999999995</v>
      </c>
    </row>
    <row r="9" spans="1:16">
      <c r="B9" s="19"/>
      <c r="C9" s="19"/>
      <c r="D9" s="257"/>
      <c r="E9" s="19"/>
      <c r="F9" s="19"/>
      <c r="G9" s="19"/>
      <c r="H9" s="19"/>
      <c r="I9" s="19"/>
      <c r="J9" s="19"/>
      <c r="K9" s="19"/>
      <c r="L9" s="19"/>
      <c r="M9" s="19"/>
      <c r="N9" s="19"/>
      <c r="O9" s="19"/>
      <c r="P9" s="19"/>
    </row>
    <row r="10" spans="1:16">
      <c r="A10" s="24" t="s">
        <v>207</v>
      </c>
      <c r="B10" s="25">
        <f ca="1">'EF ele_warmte'!B12</f>
        <v>0.16884624652507702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4073.6449795714479</v>
      </c>
      <c r="C12" s="23">
        <f ca="1">C10*C8</f>
        <v>0</v>
      </c>
      <c r="D12" s="23">
        <f>D8*D10</f>
        <v>6745.2334403080004</v>
      </c>
      <c r="E12" s="23">
        <f>E10*E8</f>
        <v>399.12963366263756</v>
      </c>
      <c r="F12" s="23">
        <f>F10*F8</f>
        <v>14386.849586079921</v>
      </c>
      <c r="G12" s="23"/>
      <c r="H12" s="23"/>
      <c r="I12" s="23"/>
      <c r="J12" s="23">
        <f>J10*J8</f>
        <v>361.23682655287348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5007</v>
      </c>
      <c r="C26" s="36"/>
      <c r="D26" s="227"/>
    </row>
    <row r="27" spans="1:5" s="15" customFormat="1">
      <c r="A27" s="229" t="s">
        <v>697</v>
      </c>
      <c r="B27" s="37">
        <f>SUM(HH_hh_gas_aantal,HH_rest_gas_aantal)</f>
        <v>2019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1918.05</v>
      </c>
      <c r="C31" s="34" t="s">
        <v>104</v>
      </c>
      <c r="D31" s="173"/>
    </row>
    <row r="32" spans="1:5">
      <c r="A32" s="170" t="s">
        <v>72</v>
      </c>
      <c r="B32" s="33">
        <f>IF((B21*($B$26-($B$27-0.05*$B$27)-$B$60))&lt;0,0,B21*($B$26-($B$27-0.05*$B$27)-$B$60))</f>
        <v>76.676010939227822</v>
      </c>
      <c r="C32" s="34" t="s">
        <v>104</v>
      </c>
      <c r="D32" s="173"/>
    </row>
    <row r="33" spans="1:6">
      <c r="A33" s="170" t="s">
        <v>73</v>
      </c>
      <c r="B33" s="33">
        <f>IF((B22*($B$26-($B$27-0.05*$B$27)-$B$60))&lt;0,0,B22*($B$26-($B$27-0.05*$B$27)-$B$60))</f>
        <v>516.11948227580865</v>
      </c>
      <c r="C33" s="34" t="s">
        <v>104</v>
      </c>
      <c r="D33" s="173"/>
    </row>
    <row r="34" spans="1:6">
      <c r="A34" s="170" t="s">
        <v>74</v>
      </c>
      <c r="B34" s="33">
        <f>IF((B24*($B$26-($B$27-0.05*$B$27)-$B$60))&lt;0,0,B24*($B$26-($B$27-0.05*$B$27)-$B$60))</f>
        <v>130.94650840409844</v>
      </c>
      <c r="C34" s="33">
        <f>B26*C24</f>
        <v>1024.2322586172959</v>
      </c>
      <c r="D34" s="232"/>
    </row>
    <row r="35" spans="1:6">
      <c r="A35" s="170" t="s">
        <v>76</v>
      </c>
      <c r="B35" s="33">
        <f>IF((B19*($B$26-($B$27-0.05*$B$27)-$B$60))&lt;0,0,B19*($B$26-($B$27-0.05*$B$27)-$B$60))</f>
        <v>48.664023815236263</v>
      </c>
      <c r="C35" s="33">
        <f>B35/2</f>
        <v>24.332011907618131</v>
      </c>
      <c r="D35" s="232"/>
    </row>
    <row r="36" spans="1:6">
      <c r="A36" s="170" t="s">
        <v>77</v>
      </c>
      <c r="B36" s="33">
        <f>IF((B18*($B$26-($B$27-0.05*$B$27)-$B$60))&lt;0,0,B18*($B$26-($B$27-0.05*$B$27)-$B$60))</f>
        <v>2289.543974565629</v>
      </c>
      <c r="C36" s="34" t="s">
        <v>104</v>
      </c>
      <c r="D36" s="173"/>
    </row>
    <row r="37" spans="1:6">
      <c r="A37" s="170" t="s">
        <v>78</v>
      </c>
      <c r="B37" s="33">
        <f>B60</f>
        <v>27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133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13225.786</v>
      </c>
      <c r="C5" s="17">
        <f>IF(ISERROR('Eigen informatie GS &amp; warmtenet'!B58),0,'Eigen informatie GS &amp; warmtenet'!B58)</f>
        <v>0</v>
      </c>
      <c r="D5" s="30">
        <f>SUM(D6:D12)</f>
        <v>6750.8873080000003</v>
      </c>
      <c r="E5" s="17">
        <f>SUM(E6:E12)</f>
        <v>69.417664423928571</v>
      </c>
      <c r="F5" s="17">
        <f>SUM(F6:F12)</f>
        <v>1622.6064613696453</v>
      </c>
      <c r="G5" s="18"/>
      <c r="H5" s="17"/>
      <c r="I5" s="17"/>
      <c r="J5" s="17">
        <f>SUM(J6:J12)</f>
        <v>45.223799809249456</v>
      </c>
      <c r="K5" s="17"/>
      <c r="L5" s="17"/>
      <c r="M5" s="17"/>
      <c r="N5" s="17">
        <f>SUM(N6:N12)</f>
        <v>623.80687722527409</v>
      </c>
      <c r="O5" s="17">
        <f>B38*B39*B40</f>
        <v>4.6900000000000004</v>
      </c>
      <c r="P5" s="17">
        <f>B46*B47*B48/1000-B46*B47*B48/1000/B49</f>
        <v>38.133333333333333</v>
      </c>
      <c r="R5" s="32"/>
    </row>
    <row r="6" spans="1:18">
      <c r="A6" s="32" t="s">
        <v>53</v>
      </c>
      <c r="B6" s="37">
        <f>B26</f>
        <v>4135.6469999999999</v>
      </c>
      <c r="C6" s="33"/>
      <c r="D6" s="37">
        <f>IF(ISERROR(TER_kantoor_gas_kWh/1000),0,TER_kantoor_gas_kWh/1000)*0.902</f>
        <v>1111.5625619999998</v>
      </c>
      <c r="E6" s="33">
        <f>$C$26*'E Balans VL '!I12/100/3.6*1000000</f>
        <v>34.908467753544407</v>
      </c>
      <c r="F6" s="33">
        <f>$C$26*('E Balans VL '!L12+'E Balans VL '!N12)/100/3.6*1000000</f>
        <v>554.54447246205723</v>
      </c>
      <c r="G6" s="34"/>
      <c r="H6" s="33"/>
      <c r="I6" s="33"/>
      <c r="J6" s="33">
        <f>$C$26*('E Balans VL '!D12+'E Balans VL '!E12)/100/3.6*1000000</f>
        <v>0</v>
      </c>
      <c r="K6" s="33"/>
      <c r="L6" s="33"/>
      <c r="M6" s="33"/>
      <c r="N6" s="33">
        <f>$C$26*'E Balans VL '!Y12/100/3.6*1000000</f>
        <v>36.371736290677205</v>
      </c>
      <c r="O6" s="33"/>
      <c r="P6" s="33"/>
      <c r="R6" s="32"/>
    </row>
    <row r="7" spans="1:18">
      <c r="A7" s="32" t="s">
        <v>52</v>
      </c>
      <c r="B7" s="37">
        <f t="shared" ref="B7:B12" si="0">B27</f>
        <v>656.65499999999997</v>
      </c>
      <c r="C7" s="33"/>
      <c r="D7" s="37">
        <f>IF(ISERROR(TER_horeca_gas_kWh/1000),0,TER_horeca_gas_kWh/1000)*0.902</f>
        <v>572.71136999999999</v>
      </c>
      <c r="E7" s="33">
        <f>$C$27*'E Balans VL '!I9/100/3.6*1000000</f>
        <v>8.6337022868504114</v>
      </c>
      <c r="F7" s="33">
        <f>$C$27*('E Balans VL '!L9+'E Balans VL '!N9)/100/3.6*1000000</f>
        <v>164.91059506875519</v>
      </c>
      <c r="G7" s="34"/>
      <c r="H7" s="33"/>
      <c r="I7" s="33"/>
      <c r="J7" s="33">
        <f>$C$27*('E Balans VL '!D9+'E Balans VL '!E9)/100/3.6*1000000</f>
        <v>0</v>
      </c>
      <c r="K7" s="33"/>
      <c r="L7" s="33"/>
      <c r="M7" s="33"/>
      <c r="N7" s="33">
        <f>$C$27*'E Balans VL '!Y9/100/3.6*1000000</f>
        <v>0.178766263390913</v>
      </c>
      <c r="O7" s="33"/>
      <c r="P7" s="33"/>
      <c r="R7" s="32"/>
    </row>
    <row r="8" spans="1:18">
      <c r="A8" s="6" t="s">
        <v>51</v>
      </c>
      <c r="B8" s="37">
        <f t="shared" si="0"/>
        <v>5568.4750000000004</v>
      </c>
      <c r="C8" s="33"/>
      <c r="D8" s="37">
        <f>IF(ISERROR(TER_handel_gas_kWh/1000),0,TER_handel_gas_kWh/1000)*0.902</f>
        <v>1986.3807919999999</v>
      </c>
      <c r="E8" s="33">
        <f>$C$28*'E Balans VL '!I13/100/3.6*1000000</f>
        <v>24.386400494577369</v>
      </c>
      <c r="F8" s="33">
        <f>$C$28*('E Balans VL '!L13+'E Balans VL '!N13)/100/3.6*1000000</f>
        <v>374.28294079374177</v>
      </c>
      <c r="G8" s="34"/>
      <c r="H8" s="33"/>
      <c r="I8" s="33"/>
      <c r="J8" s="33">
        <f>$C$28*('E Balans VL '!D13+'E Balans VL '!E13)/100/3.6*1000000</f>
        <v>0</v>
      </c>
      <c r="K8" s="33"/>
      <c r="L8" s="33"/>
      <c r="M8" s="33"/>
      <c r="N8" s="33">
        <f>$C$28*'E Balans VL '!Y13/100/3.6*1000000</f>
        <v>16.450696661110019</v>
      </c>
      <c r="O8" s="33"/>
      <c r="P8" s="33"/>
      <c r="R8" s="32"/>
    </row>
    <row r="9" spans="1:18">
      <c r="A9" s="32" t="s">
        <v>50</v>
      </c>
      <c r="B9" s="37">
        <f t="shared" si="0"/>
        <v>1090.2329999999999</v>
      </c>
      <c r="C9" s="33"/>
      <c r="D9" s="37">
        <f>IF(ISERROR(TER_gezond_gas_kWh/1000),0,TER_gezond_gas_kWh/1000)*0.902</f>
        <v>854.62876400000005</v>
      </c>
      <c r="E9" s="33">
        <f>$C$29*'E Balans VL '!I10/100/3.6*1000000</f>
        <v>0.37493594211661485</v>
      </c>
      <c r="F9" s="33">
        <f>$C$29*('E Balans VL '!L10+'E Balans VL '!N10)/100/3.6*1000000</f>
        <v>95.290658413369002</v>
      </c>
      <c r="G9" s="34"/>
      <c r="H9" s="33"/>
      <c r="I9" s="33"/>
      <c r="J9" s="33">
        <f>$C$29*('E Balans VL '!D10+'E Balans VL '!E10)/100/3.6*1000000</f>
        <v>45.223799809249456</v>
      </c>
      <c r="K9" s="33"/>
      <c r="L9" s="33"/>
      <c r="M9" s="33"/>
      <c r="N9" s="33">
        <f>$C$29*'E Balans VL '!Y10/100/3.6*1000000</f>
        <v>11.430690123071773</v>
      </c>
      <c r="O9" s="33"/>
      <c r="P9" s="33"/>
      <c r="R9" s="32"/>
    </row>
    <row r="10" spans="1:18">
      <c r="A10" s="32" t="s">
        <v>49</v>
      </c>
      <c r="B10" s="37">
        <f t="shared" si="0"/>
        <v>942.08</v>
      </c>
      <c r="C10" s="33"/>
      <c r="D10" s="37">
        <f>IF(ISERROR(TER_ander_gas_kWh/1000),0,TER_ander_gas_kWh/1000)*0.902</f>
        <v>231.149226</v>
      </c>
      <c r="E10" s="33">
        <f>$C$30*'E Balans VL '!I14/100/3.6*1000000</f>
        <v>0.56028935049325435</v>
      </c>
      <c r="F10" s="33">
        <f>$C$30*('E Balans VL '!L14+'E Balans VL '!N14)/100/3.6*1000000</f>
        <v>166.79822115784816</v>
      </c>
      <c r="G10" s="34"/>
      <c r="H10" s="33"/>
      <c r="I10" s="33"/>
      <c r="J10" s="33">
        <f>$C$30*('E Balans VL '!D14+'E Balans VL '!E14)/100/3.6*1000000</f>
        <v>0</v>
      </c>
      <c r="K10" s="33"/>
      <c r="L10" s="33"/>
      <c r="M10" s="33"/>
      <c r="N10" s="33">
        <f>$C$30*'E Balans VL '!Y14/100/3.6*1000000</f>
        <v>559.37498788702419</v>
      </c>
      <c r="O10" s="33"/>
      <c r="P10" s="33"/>
      <c r="R10" s="32"/>
    </row>
    <row r="11" spans="1:18">
      <c r="A11" s="32" t="s">
        <v>54</v>
      </c>
      <c r="B11" s="37">
        <f t="shared" si="0"/>
        <v>832.69600000000003</v>
      </c>
      <c r="C11" s="33"/>
      <c r="D11" s="37">
        <f>IF(ISERROR(TER_onderwijs_gas_kWh/1000),0,TER_onderwijs_gas_kWh/1000)*0.902</f>
        <v>1994.454594</v>
      </c>
      <c r="E11" s="33">
        <f>$C$31*'E Balans VL '!I11/100/3.6*1000000</f>
        <v>0.55386859634650087</v>
      </c>
      <c r="F11" s="33">
        <f>$C$31*('E Balans VL '!L11+'E Balans VL '!N11)/100/3.6*1000000</f>
        <v>266.77957347387377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13225.786</v>
      </c>
      <c r="C16" s="21">
        <f t="shared" ca="1" si="1"/>
        <v>0</v>
      </c>
      <c r="D16" s="21">
        <f t="shared" ca="1" si="1"/>
        <v>6750.8873080000003</v>
      </c>
      <c r="E16" s="21">
        <f t="shared" si="1"/>
        <v>69.417664423928571</v>
      </c>
      <c r="F16" s="21">
        <f t="shared" ca="1" si="1"/>
        <v>1622.6064613696453</v>
      </c>
      <c r="G16" s="21">
        <f t="shared" si="1"/>
        <v>0</v>
      </c>
      <c r="H16" s="21">
        <f t="shared" si="1"/>
        <v>0</v>
      </c>
      <c r="I16" s="21">
        <f t="shared" si="1"/>
        <v>0</v>
      </c>
      <c r="J16" s="21">
        <f t="shared" si="1"/>
        <v>45.223799809249456</v>
      </c>
      <c r="K16" s="21">
        <f t="shared" si="1"/>
        <v>0</v>
      </c>
      <c r="L16" s="21">
        <f t="shared" ca="1" si="1"/>
        <v>0</v>
      </c>
      <c r="M16" s="21">
        <f t="shared" si="1"/>
        <v>0</v>
      </c>
      <c r="N16" s="21">
        <f t="shared" ca="1" si="1"/>
        <v>623.80687722527409</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0.16884624652507702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2233.1243234439121</v>
      </c>
      <c r="C20" s="23">
        <f t="shared" ref="C20:P20" ca="1" si="2">C16*C18</f>
        <v>0</v>
      </c>
      <c r="D20" s="23">
        <f t="shared" ca="1" si="2"/>
        <v>1363.6792362160002</v>
      </c>
      <c r="E20" s="23">
        <f t="shared" si="2"/>
        <v>15.757809824231787</v>
      </c>
      <c r="F20" s="23">
        <f t="shared" ca="1" si="2"/>
        <v>433.23592518569535</v>
      </c>
      <c r="G20" s="23">
        <f t="shared" si="2"/>
        <v>0</v>
      </c>
      <c r="H20" s="23">
        <f t="shared" si="2"/>
        <v>0</v>
      </c>
      <c r="I20" s="23">
        <f t="shared" si="2"/>
        <v>0</v>
      </c>
      <c r="J20" s="23">
        <f t="shared" si="2"/>
        <v>16.009225132474306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4135.6469999999999</v>
      </c>
      <c r="C26" s="39">
        <f>IF(ISERROR(B26*3.6/1000000/'E Balans VL '!Z12*100),0,B26*3.6/1000000/'E Balans VL '!Z12*100)</f>
        <v>8.6678026884445647E-2</v>
      </c>
      <c r="D26" s="235" t="s">
        <v>647</v>
      </c>
      <c r="F26" s="6"/>
    </row>
    <row r="27" spans="1:18">
      <c r="A27" s="230" t="s">
        <v>52</v>
      </c>
      <c r="B27" s="33">
        <f>IF(ISERROR(TER_horeca_ele_kWh/1000),0,TER_horeca_ele_kWh/1000)</f>
        <v>656.65499999999997</v>
      </c>
      <c r="C27" s="39">
        <f>IF(ISERROR(B27*3.6/1000000/'E Balans VL '!Z9*100),0,B27*3.6/1000000/'E Balans VL '!Z9*100)</f>
        <v>5.0345625859004768E-2</v>
      </c>
      <c r="D27" s="235" t="s">
        <v>647</v>
      </c>
      <c r="F27" s="6"/>
    </row>
    <row r="28" spans="1:18">
      <c r="A28" s="170" t="s">
        <v>51</v>
      </c>
      <c r="B28" s="33">
        <f>IF(ISERROR(TER_handel_ele_kWh/1000),0,TER_handel_ele_kWh/1000)</f>
        <v>5568.4750000000004</v>
      </c>
      <c r="C28" s="39">
        <f>IF(ISERROR(B28*3.6/1000000/'E Balans VL '!Z13*100),0,B28*3.6/1000000/'E Balans VL '!Z13*100)</f>
        <v>0.15709489447385969</v>
      </c>
      <c r="D28" s="235" t="s">
        <v>647</v>
      </c>
      <c r="F28" s="6"/>
    </row>
    <row r="29" spans="1:18">
      <c r="A29" s="230" t="s">
        <v>50</v>
      </c>
      <c r="B29" s="33">
        <f>IF(ISERROR(TER_gezond_ele_kWh/1000),0,TER_gezond_ele_kWh/1000)</f>
        <v>1090.2329999999999</v>
      </c>
      <c r="C29" s="39">
        <f>IF(ISERROR(B29*3.6/1000000/'E Balans VL '!Z10*100),0,B29*3.6/1000000/'E Balans VL '!Z10*100)</f>
        <v>0.12105681538981318</v>
      </c>
      <c r="D29" s="235" t="s">
        <v>647</v>
      </c>
      <c r="F29" s="6"/>
    </row>
    <row r="30" spans="1:18">
      <c r="A30" s="230" t="s">
        <v>49</v>
      </c>
      <c r="B30" s="33">
        <f>IF(ISERROR(TER_ander_ele_kWh/1000),0,TER_ander_ele_kWh/1000)</f>
        <v>942.08</v>
      </c>
      <c r="C30" s="39">
        <f>IF(ISERROR(B30*3.6/1000000/'E Balans VL '!Z14*100),0,B30*3.6/1000000/'E Balans VL '!Z14*100)</f>
        <v>6.7976187152446271E-2</v>
      </c>
      <c r="D30" s="235" t="s">
        <v>647</v>
      </c>
      <c r="F30" s="6"/>
    </row>
    <row r="31" spans="1:18">
      <c r="A31" s="230" t="s">
        <v>54</v>
      </c>
      <c r="B31" s="33">
        <f>IF(ISERROR(TER_onderwijs_ele_kWh/1000),0,TER_onderwijs_ele_kWh/1000)</f>
        <v>832.69600000000003</v>
      </c>
      <c r="C31" s="39">
        <f>IF(ISERROR(B31*3.6/1000000/'E Balans VL '!Z11*100),0,B31*3.6/1000000/'E Balans VL '!Z11*100)</f>
        <v>0.23081673532829419</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5458.3739999999998</v>
      </c>
      <c r="C5" s="17">
        <f>IF(ISERROR('Eigen informatie GS &amp; warmtenet'!B59),0,'Eigen informatie GS &amp; warmtenet'!B59)</f>
        <v>0</v>
      </c>
      <c r="D5" s="30">
        <f>SUM(D6:D15)</f>
        <v>1512.9264040000003</v>
      </c>
      <c r="E5" s="17">
        <f>SUM(E6:E15)</f>
        <v>618.37567290515074</v>
      </c>
      <c r="F5" s="17">
        <f>SUM(F6:F15)</f>
        <v>4707.6909145185755</v>
      </c>
      <c r="G5" s="18"/>
      <c r="H5" s="17"/>
      <c r="I5" s="17"/>
      <c r="J5" s="17">
        <f>SUM(J6:J15)</f>
        <v>4.0111051657714656</v>
      </c>
      <c r="K5" s="17"/>
      <c r="L5" s="17"/>
      <c r="M5" s="17"/>
      <c r="N5" s="17">
        <f>SUM(N6:N15)</f>
        <v>792.0762186085318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1018.393</v>
      </c>
      <c r="C8" s="33"/>
      <c r="D8" s="37">
        <f>IF( ISERROR(IND_metaal_Gas_kWH/1000),0,IND_metaal_Gas_kWH/1000)*0.902</f>
        <v>230.30224800000002</v>
      </c>
      <c r="E8" s="33">
        <f>C30*'E Balans VL '!I18/100/3.6*1000000</f>
        <v>29.252069538373604</v>
      </c>
      <c r="F8" s="33">
        <f>C30*'E Balans VL '!L18/100/3.6*1000000+C30*'E Balans VL '!N18/100/3.6*1000000</f>
        <v>261.19821798780731</v>
      </c>
      <c r="G8" s="34"/>
      <c r="H8" s="33"/>
      <c r="I8" s="33"/>
      <c r="J8" s="40">
        <f>C30*'E Balans VL '!D18/100/3.6*1000000+C30*'E Balans VL '!E18/100/3.6*1000000</f>
        <v>0</v>
      </c>
      <c r="K8" s="33"/>
      <c r="L8" s="33"/>
      <c r="M8" s="33"/>
      <c r="N8" s="33">
        <f>C30*'E Balans VL '!Y18/100/3.6*1000000</f>
        <v>27.651448784637566</v>
      </c>
      <c r="O8" s="33"/>
      <c r="P8" s="33"/>
      <c r="R8" s="32"/>
    </row>
    <row r="9" spans="1:18">
      <c r="A9" s="6" t="s">
        <v>32</v>
      </c>
      <c r="B9" s="37">
        <f t="shared" si="0"/>
        <v>1504.201</v>
      </c>
      <c r="C9" s="33"/>
      <c r="D9" s="37">
        <f>IF( ISERROR(IND_andere_gas_kWh/1000),0,IND_andere_gas_kWh/1000)*0.902</f>
        <v>799.65366800000004</v>
      </c>
      <c r="E9" s="33">
        <f>C31*'E Balans VL '!I19/100/3.6*1000000</f>
        <v>407.15022684917449</v>
      </c>
      <c r="F9" s="33">
        <f>C31*'E Balans VL '!L19/100/3.6*1000000+C31*'E Balans VL '!N19/100/3.6*1000000</f>
        <v>1001.957043716473</v>
      </c>
      <c r="G9" s="34"/>
      <c r="H9" s="33"/>
      <c r="I9" s="33"/>
      <c r="J9" s="40">
        <f>C31*'E Balans VL '!D19/100/3.6*1000000+C31*'E Balans VL '!E19/100/3.6*1000000</f>
        <v>0</v>
      </c>
      <c r="K9" s="33"/>
      <c r="L9" s="33"/>
      <c r="M9" s="33"/>
      <c r="N9" s="33">
        <f>C31*'E Balans VL '!Y19/100/3.6*1000000</f>
        <v>127.17023035622391</v>
      </c>
      <c r="O9" s="33"/>
      <c r="P9" s="33"/>
      <c r="R9" s="32"/>
    </row>
    <row r="10" spans="1:18">
      <c r="A10" s="6" t="s">
        <v>40</v>
      </c>
      <c r="B10" s="37">
        <f t="shared" si="0"/>
        <v>2121.7570000000001</v>
      </c>
      <c r="C10" s="33"/>
      <c r="D10" s="37">
        <f>IF( ISERROR(IND_voed_gas_kWh/1000),0,IND_voed_gas_kWh/1000)*0.902</f>
        <v>222.11479400000002</v>
      </c>
      <c r="E10" s="33">
        <f>C32*'E Balans VL '!I20/100/3.6*1000000</f>
        <v>173.0553755298636</v>
      </c>
      <c r="F10" s="33">
        <f>C32*'E Balans VL '!L20/100/3.6*1000000+C32*'E Balans VL '!N20/100/3.6*1000000</f>
        <v>3163.7321896623721</v>
      </c>
      <c r="G10" s="34"/>
      <c r="H10" s="33"/>
      <c r="I10" s="33"/>
      <c r="J10" s="40">
        <f>C32*'E Balans VL '!D20/100/3.6*1000000+C32*'E Balans VL '!E20/100/3.6*1000000</f>
        <v>2.8068269642502544E-2</v>
      </c>
      <c r="K10" s="33"/>
      <c r="L10" s="33"/>
      <c r="M10" s="33"/>
      <c r="N10" s="33">
        <f>C32*'E Balans VL '!Y20/100/3.6*1000000</f>
        <v>623.29733786840518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700.82500000000005</v>
      </c>
      <c r="C12" s="33"/>
      <c r="D12" s="37">
        <f>IF( ISERROR(IND_min_gas_kWh/1000),0,IND_min_gas_kWh/1000)*0.902</f>
        <v>0</v>
      </c>
      <c r="E12" s="33">
        <f>C34*'E Balans VL '!I22/100/3.6*1000000</f>
        <v>5.4592740467323972</v>
      </c>
      <c r="F12" s="33">
        <f>C34*'E Balans VL '!L22/100/3.6*1000000+C34*'E Balans VL '!N22/100/3.6*1000000</f>
        <v>264.30812298838686</v>
      </c>
      <c r="G12" s="34"/>
      <c r="H12" s="33"/>
      <c r="I12" s="33"/>
      <c r="J12" s="40">
        <f>C34*'E Balans VL '!D22/100/3.6*1000000+C34*'E Balans VL '!E22/100/3.6*1000000</f>
        <v>3.8544762248186308</v>
      </c>
      <c r="K12" s="33"/>
      <c r="L12" s="33"/>
      <c r="M12" s="33"/>
      <c r="N12" s="33">
        <f>C34*'E Balans VL '!Y22/100/3.6*1000000</f>
        <v>0</v>
      </c>
      <c r="O12" s="33"/>
      <c r="P12" s="33"/>
      <c r="R12" s="32"/>
    </row>
    <row r="13" spans="1:18">
      <c r="A13" s="6" t="s">
        <v>38</v>
      </c>
      <c r="B13" s="37">
        <f t="shared" si="0"/>
        <v>63.039000000000001</v>
      </c>
      <c r="C13" s="33"/>
      <c r="D13" s="37">
        <f>IF( ISERROR(IND_papier_gas_kWh/1000),0,IND_papier_gas_kWh/1000)*0.902</f>
        <v>105.39148400000001</v>
      </c>
      <c r="E13" s="33">
        <f>C35*'E Balans VL '!I23/100/3.6*1000000</f>
        <v>0.66044836804252605</v>
      </c>
      <c r="F13" s="33">
        <f>C35*'E Balans VL '!L23/100/3.6*1000000+C35*'E Balans VL '!N23/100/3.6*1000000</f>
        <v>4.7039813534126749</v>
      </c>
      <c r="G13" s="34"/>
      <c r="H13" s="33"/>
      <c r="I13" s="33"/>
      <c r="J13" s="40">
        <f>C35*'E Balans VL '!D23/100/3.6*1000000+C35*'E Balans VL '!E23/100/3.6*1000000</f>
        <v>0</v>
      </c>
      <c r="K13" s="33"/>
      <c r="L13" s="33"/>
      <c r="M13" s="33"/>
      <c r="N13" s="33">
        <f>C35*'E Balans VL '!Y23/100/3.6*1000000</f>
        <v>11.629332440391412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50.158999999999999</v>
      </c>
      <c r="C15" s="33"/>
      <c r="D15" s="37">
        <f>IF( ISERROR(IND_rest_gas_kWh/1000),0,IND_rest_gas_kWh/1000)*0.902</f>
        <v>155.46421000000001</v>
      </c>
      <c r="E15" s="33">
        <f>C37*'E Balans VL '!I15/100/3.6*1000000</f>
        <v>2.7982785729641</v>
      </c>
      <c r="F15" s="33">
        <f>C37*'E Balans VL '!L15/100/3.6*1000000+C37*'E Balans VL '!N15/100/3.6*1000000</f>
        <v>11.791358810123883</v>
      </c>
      <c r="G15" s="34"/>
      <c r="H15" s="33"/>
      <c r="I15" s="33"/>
      <c r="J15" s="40">
        <f>C37*'E Balans VL '!D15/100/3.6*1000000+C37*'E Balans VL '!E15/100/3.6*1000000</f>
        <v>0.12856067131033219</v>
      </c>
      <c r="K15" s="33"/>
      <c r="L15" s="33"/>
      <c r="M15" s="33"/>
      <c r="N15" s="33">
        <f>C37*'E Balans VL '!Y15/100/3.6*1000000</f>
        <v>2.3278691588738245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5458.3739999999998</v>
      </c>
      <c r="C18" s="21">
        <f>C5+C16</f>
        <v>0</v>
      </c>
      <c r="D18" s="21">
        <f>MAX((D5+D16),0)</f>
        <v>1512.9264040000003</v>
      </c>
      <c r="E18" s="21">
        <f>MAX((E5+E16),0)</f>
        <v>618.37567290515074</v>
      </c>
      <c r="F18" s="21">
        <f>MAX((F5+F16),0)</f>
        <v>4707.6909145185755</v>
      </c>
      <c r="G18" s="21"/>
      <c r="H18" s="21"/>
      <c r="I18" s="21"/>
      <c r="J18" s="21">
        <f>MAX((J5+J16),0)</f>
        <v>4.0111051657714656</v>
      </c>
      <c r="K18" s="21"/>
      <c r="L18" s="21">
        <f>MAX((L5+L16),0)</f>
        <v>0</v>
      </c>
      <c r="M18" s="21"/>
      <c r="N18" s="21">
        <f>MAX((N5+N16),0)</f>
        <v>792.0762186085318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0.16884624652507702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921.6259620300707</v>
      </c>
      <c r="C22" s="23">
        <f ca="1">C18*C20</f>
        <v>0</v>
      </c>
      <c r="D22" s="23">
        <f>D18*D20</f>
        <v>305.6111336080001</v>
      </c>
      <c r="E22" s="23">
        <f>E18*E20</f>
        <v>140.37127774946921</v>
      </c>
      <c r="F22" s="23">
        <f>F18*F20</f>
        <v>1256.9534741764596</v>
      </c>
      <c r="G22" s="23"/>
      <c r="H22" s="23"/>
      <c r="I22" s="23"/>
      <c r="J22" s="23">
        <f>J18*J20</f>
        <v>1.4199312286830987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1018.393</v>
      </c>
      <c r="C30" s="39">
        <f>IF(ISERROR(B30*3.6/1000000/'E Balans VL '!Z18*100),0,B30*3.6/1000000/'E Balans VL '!Z18*100)</f>
        <v>0.10020727151960213</v>
      </c>
      <c r="D30" s="235" t="s">
        <v>647</v>
      </c>
    </row>
    <row r="31" spans="1:18">
      <c r="A31" s="6" t="s">
        <v>32</v>
      </c>
      <c r="B31" s="37">
        <f>IF( ISERROR(IND_ander_ele_kWh/1000),0,IND_ander_ele_kWh/1000)</f>
        <v>1504.201</v>
      </c>
      <c r="C31" s="39">
        <f>IF(ISERROR(B31*3.6/1000000/'E Balans VL '!Z19*100),0,B31*3.6/1000000/'E Balans VL '!Z19*100)</f>
        <v>6.5506753660681996E-2</v>
      </c>
      <c r="D31" s="235" t="s">
        <v>647</v>
      </c>
    </row>
    <row r="32" spans="1:18">
      <c r="A32" s="170" t="s">
        <v>40</v>
      </c>
      <c r="B32" s="37">
        <f>IF( ISERROR(IND_voed_ele_kWh/1000),0,IND_voed_ele_kWh/1000)</f>
        <v>2121.7570000000001</v>
      </c>
      <c r="C32" s="39">
        <f>IF(ISERROR(B32*3.6/1000000/'E Balans VL '!Z20*100),0,B32*3.6/1000000/'E Balans VL '!Z20*100)</f>
        <v>0.4025727916852796</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700.82500000000005</v>
      </c>
      <c r="C34" s="39">
        <f>IF(ISERROR(B34*3.6/1000000/'E Balans VL '!Z22*100),0,B34*3.6/1000000/'E Balans VL '!Z22*100)</f>
        <v>9.8543032465294805E-2</v>
      </c>
      <c r="D34" s="235" t="s">
        <v>647</v>
      </c>
    </row>
    <row r="35" spans="1:5">
      <c r="A35" s="170" t="s">
        <v>38</v>
      </c>
      <c r="B35" s="37">
        <f>IF( ISERROR(IND_papier_ele_kWh/1000),0,IND_papier_ele_kWh/1000)</f>
        <v>63.039000000000001</v>
      </c>
      <c r="C35" s="39">
        <f>IF(ISERROR(B35*3.6/1000000/'E Balans VL '!Z22*100),0,B35*3.6/1000000/'E Balans VL '!Z22*100)</f>
        <v>8.8639164179070661E-3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50.158999999999999</v>
      </c>
      <c r="C37" s="39">
        <f>IF(ISERROR(B37*3.6/1000000/'E Balans VL '!Z15*100),0,B37*3.6/1000000/'E Balans VL '!Z15*100)</f>
        <v>3.8653670295115739E-4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2820.4470000000001</v>
      </c>
      <c r="C5" s="17">
        <f>'Eigen informatie GS &amp; warmtenet'!B60</f>
        <v>0</v>
      </c>
      <c r="D5" s="30">
        <f>IF(ISERROR(SUM(LB_lb_gas_kWh,LB_rest_gas_kWh)/1000),0,SUM(LB_lb_gas_kWh,LB_rest_gas_kWh)/1000)*0.902</f>
        <v>3797.843038</v>
      </c>
      <c r="E5" s="17">
        <f>B17*'E Balans VL '!I25/3.6*1000000/100</f>
        <v>58.565764466653583</v>
      </c>
      <c r="F5" s="17">
        <f>B17*('E Balans VL '!L25/3.6*1000000+'E Balans VL '!N25/3.6*1000000)/100</f>
        <v>9967.5316675693884</v>
      </c>
      <c r="G5" s="18"/>
      <c r="H5" s="17"/>
      <c r="I5" s="17"/>
      <c r="J5" s="17">
        <f>('E Balans VL '!D25+'E Balans VL '!E25)/3.6*1000000*landbouw!B17/100</f>
        <v>323.48743205128079</v>
      </c>
      <c r="K5" s="17"/>
      <c r="L5" s="17">
        <f>L6*(-1)</f>
        <v>0</v>
      </c>
      <c r="M5" s="17"/>
      <c r="N5" s="17">
        <f>N6*(-1)</f>
        <v>12857.142857142859</v>
      </c>
      <c r="O5" s="17"/>
      <c r="P5" s="17"/>
      <c r="R5" s="32"/>
    </row>
    <row r="6" spans="1:18">
      <c r="A6" s="16" t="s">
        <v>483</v>
      </c>
      <c r="B6" s="17" t="s">
        <v>204</v>
      </c>
      <c r="C6" s="17">
        <f>'lokale energieproductie'!O39+'lokale energieproductie'!O32</f>
        <v>6428.5714285714284</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-12857.142857142859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2820.4470000000001</v>
      </c>
      <c r="C8" s="21">
        <f>C5+C6</f>
        <v>6428.5714285714284</v>
      </c>
      <c r="D8" s="21">
        <f>MAX((D5+D6),0)</f>
        <v>3797.843038</v>
      </c>
      <c r="E8" s="21">
        <f>MAX((E5+E6),0)</f>
        <v>58.565764466653583</v>
      </c>
      <c r="F8" s="21">
        <f>MAX((F5+F6),0)</f>
        <v>9967.5316675693884</v>
      </c>
      <c r="G8" s="21"/>
      <c r="H8" s="21"/>
      <c r="I8" s="21"/>
      <c r="J8" s="21">
        <f>MAX((J5+J6),0)</f>
        <v>323.48743205128079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0.16884624652507702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476.22188947291392</v>
      </c>
      <c r="C12" s="23">
        <f ca="1">C8*C10</f>
        <v>0</v>
      </c>
      <c r="D12" s="23">
        <f>D8*D10</f>
        <v>767.16429367600006</v>
      </c>
      <c r="E12" s="23">
        <f>E8*E10</f>
        <v>13.294428533930363</v>
      </c>
      <c r="F12" s="23">
        <f>F8*F10</f>
        <v>2661.3309552410269</v>
      </c>
      <c r="G12" s="23"/>
      <c r="H12" s="23"/>
      <c r="I12" s="23"/>
      <c r="J12" s="23">
        <f>J8*J10</f>
        <v>114.51455094615339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0.39336346117060506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129.45590196318474</v>
      </c>
      <c r="C26" s="245">
        <f>B26*'GWP N2O_CH4'!B5</f>
        <v>2718.5739412268795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34.650820806441423</v>
      </c>
      <c r="C27" s="245">
        <f>B27*'GWP N2O_CH4'!B5</f>
        <v>727.6672369352699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2.6658861232238613</v>
      </c>
      <c r="C28" s="245">
        <f>B28*'GWP N2O_CH4'!B4</f>
        <v>826.42469819939697</v>
      </c>
      <c r="D28" s="50"/>
    </row>
    <row r="29" spans="1:4">
      <c r="A29" s="41" t="s">
        <v>266</v>
      </c>
      <c r="B29" s="245">
        <f>B34*'ha_N2O bodem landbouw'!B4</f>
        <v>13.128399639115388</v>
      </c>
      <c r="C29" s="245">
        <f>B29*'GWP N2O_CH4'!B4</f>
        <v>4069.8038881257703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3.2780302072565833E-3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1.9798527725336238E-5</v>
      </c>
      <c r="C5" s="434" t="s">
        <v>204</v>
      </c>
      <c r="D5" s="419">
        <f>SUM(D6:D11)</f>
        <v>1.9947574085834918E-5</v>
      </c>
      <c r="E5" s="419">
        <f>SUM(E6:E11)</f>
        <v>7.027339661757621E-4</v>
      </c>
      <c r="F5" s="432" t="s">
        <v>204</v>
      </c>
      <c r="G5" s="419">
        <f>SUM(G6:G11)</f>
        <v>0.1972060229815408</v>
      </c>
      <c r="H5" s="419">
        <f>SUM(H6:H11)</f>
        <v>3.6189809241618409E-2</v>
      </c>
      <c r="I5" s="434" t="s">
        <v>204</v>
      </c>
      <c r="J5" s="434" t="s">
        <v>204</v>
      </c>
      <c r="K5" s="434" t="s">
        <v>204</v>
      </c>
      <c r="L5" s="434" t="s">
        <v>204</v>
      </c>
      <c r="M5" s="419">
        <f>SUM(M6:M11)</f>
        <v>1.0553758150762196E-2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1.4073904415094376E-5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1.2483665014721649E-5</v>
      </c>
      <c r="E6" s="836">
        <f>vkm_GW_PW*SUMIFS(TableVerdeelsleutelVkm[LPG],TableVerdeelsleutelVkm[Voertuigtype],"Lichte voertuigen")*SUMIFS(TableECFTransport[EnergieConsumptieFactor (PJ per km)],TableECFTransport[Index],CONCATENATE($A6,"_LPG_LPG"))</f>
        <v>4.4827810756002489E-4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8.9115191381141795E-2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2.3004544354694869E-2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5.0723180293716346E-3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3.4238044747190631E-7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5.3577449310570048E-2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1.4093863784653967E-6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2.4191129652622865E-3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5.3484602596605396E-6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7.4639090711132688E-6</v>
      </c>
      <c r="E8" s="422">
        <f>vkm_NGW_PW*SUMIFS(TableVerdeelsleutelVkm[LPG],TableVerdeelsleutelVkm[Voertuigtype],"Lichte voertuigen")*SUMIFS(TableECFTransport[EnergieConsumptieFactor (PJ per km)],TableECFTransport[Index],CONCATENATE($A8,"_LPG_LPG"))</f>
        <v>2.5445585861573721E-4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4.7722812133510324E-2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1.3183687646940558E-2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2.7557218548835624E-3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3.3782603109418401E-8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6.7905701563186413E-3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1.6785360451472118E-7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3.0660530124471228E-4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5.4995910348156212</v>
      </c>
      <c r="C14" s="21"/>
      <c r="D14" s="21">
        <f t="shared" ref="D14:M14" si="0">((D5)*10^9/3600)+D12</f>
        <v>5.5409928016208099</v>
      </c>
      <c r="E14" s="21">
        <f t="shared" si="0"/>
        <v>195.20387949326727</v>
      </c>
      <c r="F14" s="21"/>
      <c r="G14" s="21">
        <f t="shared" si="0"/>
        <v>54779.45082820578</v>
      </c>
      <c r="H14" s="21">
        <f t="shared" si="0"/>
        <v>10052.724789338446</v>
      </c>
      <c r="I14" s="21"/>
      <c r="J14" s="21"/>
      <c r="K14" s="21"/>
      <c r="L14" s="21"/>
      <c r="M14" s="21">
        <f t="shared" si="0"/>
        <v>2931.5994863228325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0.16884624652507702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0.92858530365158176</v>
      </c>
      <c r="C18" s="23"/>
      <c r="D18" s="23">
        <f t="shared" ref="D18:M18" si="1">D14*D16</f>
        <v>1.1192805459274036</v>
      </c>
      <c r="E18" s="23">
        <f t="shared" si="1"/>
        <v>44.311280644971674</v>
      </c>
      <c r="F18" s="23"/>
      <c r="G18" s="23">
        <f t="shared" si="1"/>
        <v>14626.113371130945</v>
      </c>
      <c r="H18" s="23">
        <f t="shared" si="1"/>
        <v>2503.1284725452733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2.090422123395529E-5</v>
      </c>
      <c r="C50" s="316">
        <f t="shared" ref="C50:P50" si="2">SUM(C51:C52)</f>
        <v>0</v>
      </c>
      <c r="D50" s="316">
        <f t="shared" si="2"/>
        <v>0</v>
      </c>
      <c r="E50" s="316">
        <f t="shared" si="2"/>
        <v>0</v>
      </c>
      <c r="F50" s="316">
        <f t="shared" si="2"/>
        <v>0</v>
      </c>
      <c r="G50" s="316">
        <f t="shared" si="2"/>
        <v>4.0688883788895765E-3</v>
      </c>
      <c r="H50" s="316">
        <f t="shared" si="2"/>
        <v>0</v>
      </c>
      <c r="I50" s="316">
        <f t="shared" si="2"/>
        <v>0</v>
      </c>
      <c r="J50" s="316">
        <f t="shared" si="2"/>
        <v>0</v>
      </c>
      <c r="K50" s="316">
        <f t="shared" si="2"/>
        <v>0</v>
      </c>
      <c r="L50" s="316">
        <f t="shared" si="2"/>
        <v>0</v>
      </c>
      <c r="M50" s="316">
        <f t="shared" si="2"/>
        <v>1.8245237385521276E-4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2.090422123395529E-5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4.0688883788895765E-3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1.8245237385521276E-4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5.806728120543136</v>
      </c>
      <c r="C54" s="21">
        <f t="shared" ref="C54:P54" si="3">(C50)*10^9/3600</f>
        <v>0</v>
      </c>
      <c r="D54" s="21">
        <f t="shared" si="3"/>
        <v>0</v>
      </c>
      <c r="E54" s="21">
        <f t="shared" si="3"/>
        <v>0</v>
      </c>
      <c r="F54" s="21">
        <f t="shared" si="3"/>
        <v>0</v>
      </c>
      <c r="G54" s="21">
        <f t="shared" si="3"/>
        <v>1130.2467719137712</v>
      </c>
      <c r="H54" s="21">
        <f t="shared" si="3"/>
        <v>0</v>
      </c>
      <c r="I54" s="21">
        <f t="shared" si="3"/>
        <v>0</v>
      </c>
      <c r="J54" s="21">
        <f t="shared" si="3"/>
        <v>0</v>
      </c>
      <c r="K54" s="21">
        <f t="shared" si="3"/>
        <v>0</v>
      </c>
      <c r="L54" s="21">
        <f t="shared" si="3"/>
        <v>0</v>
      </c>
      <c r="M54" s="21">
        <f t="shared" si="3"/>
        <v>50.681214959781322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0.16884624652507702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0.98044424774532346</v>
      </c>
      <c r="C58" s="23">
        <f t="shared" ref="C58:P58" ca="1" si="4">C54*C56</f>
        <v>0</v>
      </c>
      <c r="D58" s="23">
        <f t="shared" si="4"/>
        <v>0</v>
      </c>
      <c r="E58" s="23">
        <f t="shared" si="4"/>
        <v>0</v>
      </c>
      <c r="F58" s="23">
        <f t="shared" si="4"/>
        <v>0</v>
      </c>
      <c r="G58" s="23">
        <f t="shared" si="4"/>
        <v>301.77588810097694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6574.722411753889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4500</v>
      </c>
      <c r="C8" s="546">
        <f>B48</f>
        <v>0</v>
      </c>
      <c r="D8" s="963"/>
      <c r="E8" s="963">
        <f>E48</f>
        <v>0</v>
      </c>
      <c r="F8" s="964"/>
      <c r="G8" s="547"/>
      <c r="H8" s="963">
        <f>I48</f>
        <v>0</v>
      </c>
      <c r="I8" s="963">
        <f>G48+F48</f>
        <v>0</v>
      </c>
      <c r="J8" s="963">
        <f>H48+D48+C48</f>
        <v>5294.1176470588243</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11074.72241175389</v>
      </c>
      <c r="C10" s="559">
        <f t="shared" ref="C10:L10" si="0">SUM(C8:C9)</f>
        <v>0</v>
      </c>
      <c r="D10" s="559">
        <f t="shared" si="0"/>
        <v>0</v>
      </c>
      <c r="E10" s="559">
        <f t="shared" si="0"/>
        <v>0</v>
      </c>
      <c r="F10" s="559">
        <f t="shared" si="0"/>
        <v>0</v>
      </c>
      <c r="G10" s="559">
        <f t="shared" si="0"/>
        <v>0</v>
      </c>
      <c r="H10" s="559">
        <f t="shared" si="0"/>
        <v>0</v>
      </c>
      <c r="I10" s="559">
        <f t="shared" si="0"/>
        <v>0</v>
      </c>
      <c r="J10" s="559">
        <f t="shared" si="0"/>
        <v>5294.1176470588243</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6428.5714285714284</v>
      </c>
      <c r="C17" s="571">
        <f>B49</f>
        <v>0</v>
      </c>
      <c r="D17" s="572"/>
      <c r="E17" s="572">
        <f>E49</f>
        <v>0</v>
      </c>
      <c r="F17" s="969"/>
      <c r="G17" s="573"/>
      <c r="H17" s="571">
        <f>I49</f>
        <v>0</v>
      </c>
      <c r="I17" s="572">
        <f>G49+F49</f>
        <v>0</v>
      </c>
      <c r="J17" s="572">
        <f>H49+D49+C49</f>
        <v>7563.0252100840344</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6428.5714285714284</v>
      </c>
      <c r="C20" s="558">
        <f>SUM(C17:C19)</f>
        <v>0</v>
      </c>
      <c r="D20" s="558">
        <f t="shared" ref="D20:L20" si="1">SUM(D17:D19)</f>
        <v>0</v>
      </c>
      <c r="E20" s="558">
        <f t="shared" si="1"/>
        <v>0</v>
      </c>
      <c r="F20" s="558">
        <f t="shared" si="1"/>
        <v>0</v>
      </c>
      <c r="G20" s="558">
        <f t="shared" si="1"/>
        <v>0</v>
      </c>
      <c r="H20" s="558">
        <f t="shared" si="1"/>
        <v>0</v>
      </c>
      <c r="I20" s="558">
        <f t="shared" si="1"/>
        <v>0</v>
      </c>
      <c r="J20" s="558">
        <f t="shared" si="1"/>
        <v>7563.0252100840344</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71024</v>
      </c>
      <c r="C28" s="741">
        <v>3540</v>
      </c>
      <c r="D28" s="630"/>
      <c r="E28" s="629"/>
      <c r="F28" s="629"/>
      <c r="G28" s="629" t="s">
        <v>908</v>
      </c>
      <c r="H28" s="629" t="s">
        <v>909</v>
      </c>
      <c r="I28" s="629"/>
      <c r="J28" s="740"/>
      <c r="K28" s="740"/>
      <c r="L28" s="629" t="s">
        <v>910</v>
      </c>
      <c r="M28" s="629">
        <v>1000</v>
      </c>
      <c r="N28" s="629">
        <v>4500</v>
      </c>
      <c r="O28" s="629">
        <v>6428.5714285714284</v>
      </c>
      <c r="P28" s="629">
        <v>0</v>
      </c>
      <c r="Q28" s="629">
        <v>12857.142857142859</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1000</v>
      </c>
      <c r="N29" s="587">
        <f>SUM(N28:N28)</f>
        <v>4500</v>
      </c>
      <c r="O29" s="587">
        <f>SUM(O28:O28)</f>
        <v>6428.5714285714284</v>
      </c>
      <c r="P29" s="587">
        <f>SUM(P28:P28)</f>
        <v>0</v>
      </c>
      <c r="Q29" s="587">
        <f>SUM(Q28:Q28)</f>
        <v>12857.142857142859</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1000</v>
      </c>
      <c r="N32" s="592">
        <f>SUMIF($AA$28:$AA$28,"landbouw",N28:N28)</f>
        <v>4500</v>
      </c>
      <c r="O32" s="592">
        <f>SUMIF($AA$28:$AA$28,"landbouw",O28:O28)</f>
        <v>6428.5714285714284</v>
      </c>
      <c r="P32" s="592">
        <f>SUMIF($AA$28:$AA$28,"landbouw",P28:P28)</f>
        <v>0</v>
      </c>
      <c r="Q32" s="592">
        <f>SUMIF($AA$28:$AA$28,"landbouw",Q28:Q28)</f>
        <v>12857.142857142859</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0.41176470588235298</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5294.1176470588243</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7563.0252100840344</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14136.546</v>
      </c>
      <c r="D10" s="640">
        <f ca="1">tertiair!C16</f>
        <v>0</v>
      </c>
      <c r="E10" s="640">
        <f ca="1">tertiair!D16</f>
        <v>6750.8873080000003</v>
      </c>
      <c r="F10" s="640">
        <f>tertiair!E16</f>
        <v>69.417664423928571</v>
      </c>
      <c r="G10" s="640">
        <f ca="1">tertiair!F16</f>
        <v>1622.6064613696453</v>
      </c>
      <c r="H10" s="640">
        <f>tertiair!G16</f>
        <v>0</v>
      </c>
      <c r="I10" s="640">
        <f>tertiair!H16</f>
        <v>0</v>
      </c>
      <c r="J10" s="640">
        <f>tertiair!I16</f>
        <v>0</v>
      </c>
      <c r="K10" s="640">
        <f>tertiair!J16</f>
        <v>45.223799809249456</v>
      </c>
      <c r="L10" s="640">
        <f>tertiair!K16</f>
        <v>0</v>
      </c>
      <c r="M10" s="640">
        <f ca="1">tertiair!L16</f>
        <v>0</v>
      </c>
      <c r="N10" s="640">
        <f>tertiair!M16</f>
        <v>0</v>
      </c>
      <c r="O10" s="640">
        <f ca="1">tertiair!N16</f>
        <v>623.80687722527409</v>
      </c>
      <c r="P10" s="640">
        <f>tertiair!O16</f>
        <v>4.6900000000000004</v>
      </c>
      <c r="Q10" s="641">
        <f>tertiair!P16</f>
        <v>38.133333333333333</v>
      </c>
      <c r="R10" s="643">
        <f ca="1">SUM(C10:Q10)</f>
        <v>23291.311444161427</v>
      </c>
      <c r="S10" s="67"/>
    </row>
    <row r="11" spans="1:19" s="444" customFormat="1">
      <c r="A11" s="754" t="s">
        <v>214</v>
      </c>
      <c r="B11" s="759"/>
      <c r="C11" s="640">
        <f>huishoudens!B8</f>
        <v>24126.357934562857</v>
      </c>
      <c r="D11" s="640">
        <f>huishoudens!C8</f>
        <v>0</v>
      </c>
      <c r="E11" s="640">
        <f>huishoudens!D8</f>
        <v>33392.244753999999</v>
      </c>
      <c r="F11" s="640">
        <f>huishoudens!E8</f>
        <v>1758.2803245050111</v>
      </c>
      <c r="G11" s="640">
        <f>huishoudens!F8</f>
        <v>53883.331783070862</v>
      </c>
      <c r="H11" s="640">
        <f>huishoudens!G8</f>
        <v>0</v>
      </c>
      <c r="I11" s="640">
        <f>huishoudens!H8</f>
        <v>0</v>
      </c>
      <c r="J11" s="640">
        <f>huishoudens!I8</f>
        <v>0</v>
      </c>
      <c r="K11" s="640">
        <f>huishoudens!J8</f>
        <v>1020.4430128612246</v>
      </c>
      <c r="L11" s="640">
        <f>huishoudens!K8</f>
        <v>0</v>
      </c>
      <c r="M11" s="640">
        <f>huishoudens!L8</f>
        <v>0</v>
      </c>
      <c r="N11" s="640">
        <f>huishoudens!M8</f>
        <v>0</v>
      </c>
      <c r="O11" s="640">
        <f>huishoudens!N8</f>
        <v>8362.2401103582288</v>
      </c>
      <c r="P11" s="640">
        <f>huishoudens!O8</f>
        <v>207.92333333333335</v>
      </c>
      <c r="Q11" s="641">
        <f>huishoudens!P8</f>
        <v>514.79999999999995</v>
      </c>
      <c r="R11" s="643">
        <f>SUM(C11:Q11)</f>
        <v>123265.62125269152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5458.3739999999998</v>
      </c>
      <c r="D13" s="640">
        <f>industrie!C18</f>
        <v>0</v>
      </c>
      <c r="E13" s="640">
        <f>industrie!D18</f>
        <v>1512.9264040000003</v>
      </c>
      <c r="F13" s="640">
        <f>industrie!E18</f>
        <v>618.37567290515074</v>
      </c>
      <c r="G13" s="640">
        <f>industrie!F18</f>
        <v>4707.6909145185755</v>
      </c>
      <c r="H13" s="640">
        <f>industrie!G18</f>
        <v>0</v>
      </c>
      <c r="I13" s="640">
        <f>industrie!H18</f>
        <v>0</v>
      </c>
      <c r="J13" s="640">
        <f>industrie!I18</f>
        <v>0</v>
      </c>
      <c r="K13" s="640">
        <f>industrie!J18</f>
        <v>4.0111051657714656</v>
      </c>
      <c r="L13" s="640">
        <f>industrie!K18</f>
        <v>0</v>
      </c>
      <c r="M13" s="640">
        <f>industrie!L18</f>
        <v>0</v>
      </c>
      <c r="N13" s="640">
        <f>industrie!M18</f>
        <v>0</v>
      </c>
      <c r="O13" s="640">
        <f>industrie!N18</f>
        <v>792.0762186085318</v>
      </c>
      <c r="P13" s="640">
        <f>industrie!O18</f>
        <v>0</v>
      </c>
      <c r="Q13" s="641">
        <f>industrie!P18</f>
        <v>0</v>
      </c>
      <c r="R13" s="643">
        <f>SUM(C13:Q13)</f>
        <v>13093.454315198029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43721.277934562851</v>
      </c>
      <c r="D16" s="675">
        <f t="shared" ref="D16:R16" ca="1" si="0">SUM(D9:D15)</f>
        <v>0</v>
      </c>
      <c r="E16" s="675">
        <f t="shared" ca="1" si="0"/>
        <v>41656.058465999995</v>
      </c>
      <c r="F16" s="675">
        <f t="shared" si="0"/>
        <v>2446.0736618340902</v>
      </c>
      <c r="G16" s="675">
        <f t="shared" ca="1" si="0"/>
        <v>60213.629158959084</v>
      </c>
      <c r="H16" s="675">
        <f t="shared" si="0"/>
        <v>0</v>
      </c>
      <c r="I16" s="675">
        <f t="shared" si="0"/>
        <v>0</v>
      </c>
      <c r="J16" s="675">
        <f t="shared" si="0"/>
        <v>0</v>
      </c>
      <c r="K16" s="675">
        <f t="shared" si="0"/>
        <v>1069.6779178362453</v>
      </c>
      <c r="L16" s="675">
        <f t="shared" si="0"/>
        <v>0</v>
      </c>
      <c r="M16" s="675">
        <f t="shared" ca="1" si="0"/>
        <v>0</v>
      </c>
      <c r="N16" s="675">
        <f t="shared" si="0"/>
        <v>0</v>
      </c>
      <c r="O16" s="675">
        <f t="shared" ca="1" si="0"/>
        <v>9778.1232061920346</v>
      </c>
      <c r="P16" s="675">
        <f t="shared" si="0"/>
        <v>212.61333333333334</v>
      </c>
      <c r="Q16" s="675">
        <f t="shared" si="0"/>
        <v>552.93333333333328</v>
      </c>
      <c r="R16" s="675">
        <f t="shared" ca="1" si="0"/>
        <v>159650.38701205098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5.806728120543136</v>
      </c>
      <c r="D19" s="640">
        <f>transport!C54</f>
        <v>0</v>
      </c>
      <c r="E19" s="640">
        <f>transport!D54</f>
        <v>0</v>
      </c>
      <c r="F19" s="640">
        <f>transport!E54</f>
        <v>0</v>
      </c>
      <c r="G19" s="640">
        <f>transport!F54</f>
        <v>0</v>
      </c>
      <c r="H19" s="640">
        <f>transport!G54</f>
        <v>1130.2467719137712</v>
      </c>
      <c r="I19" s="640">
        <f>transport!H54</f>
        <v>0</v>
      </c>
      <c r="J19" s="640">
        <f>transport!I54</f>
        <v>0</v>
      </c>
      <c r="K19" s="640">
        <f>transport!J54</f>
        <v>0</v>
      </c>
      <c r="L19" s="640">
        <f>transport!K54</f>
        <v>0</v>
      </c>
      <c r="M19" s="640">
        <f>transport!L54</f>
        <v>0</v>
      </c>
      <c r="N19" s="640">
        <f>transport!M54</f>
        <v>50.681214959781322</v>
      </c>
      <c r="O19" s="640">
        <f>transport!N54</f>
        <v>0</v>
      </c>
      <c r="P19" s="640">
        <f>transport!O54</f>
        <v>0</v>
      </c>
      <c r="Q19" s="641">
        <f>transport!P54</f>
        <v>0</v>
      </c>
      <c r="R19" s="643">
        <f>SUM(C19:Q19)</f>
        <v>1186.7347149940956</v>
      </c>
      <c r="S19" s="67"/>
    </row>
    <row r="20" spans="1:19" s="444" customFormat="1">
      <c r="A20" s="754" t="s">
        <v>296</v>
      </c>
      <c r="B20" s="759"/>
      <c r="C20" s="640">
        <f>transport!B14</f>
        <v>5.4995910348156212</v>
      </c>
      <c r="D20" s="640">
        <f>transport!C14</f>
        <v>0</v>
      </c>
      <c r="E20" s="640">
        <f>transport!D14</f>
        <v>5.5409928016208099</v>
      </c>
      <c r="F20" s="640">
        <f>transport!E14</f>
        <v>195.20387949326727</v>
      </c>
      <c r="G20" s="640">
        <f>transport!F14</f>
        <v>0</v>
      </c>
      <c r="H20" s="640">
        <f>transport!G14</f>
        <v>54779.45082820578</v>
      </c>
      <c r="I20" s="640">
        <f>transport!H14</f>
        <v>10052.724789338446</v>
      </c>
      <c r="J20" s="640">
        <f>transport!I14</f>
        <v>0</v>
      </c>
      <c r="K20" s="640">
        <f>transport!J14</f>
        <v>0</v>
      </c>
      <c r="L20" s="640">
        <f>transport!K14</f>
        <v>0</v>
      </c>
      <c r="M20" s="640">
        <f>transport!L14</f>
        <v>0</v>
      </c>
      <c r="N20" s="640">
        <f>transport!M14</f>
        <v>2931.5994863228325</v>
      </c>
      <c r="O20" s="640">
        <f>transport!N14</f>
        <v>0</v>
      </c>
      <c r="P20" s="640">
        <f>transport!O14</f>
        <v>0</v>
      </c>
      <c r="Q20" s="641">
        <f>transport!P14</f>
        <v>0</v>
      </c>
      <c r="R20" s="643">
        <f>SUM(C20:Q20)</f>
        <v>67970.019567196767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11.306319155358757</v>
      </c>
      <c r="D22" s="757">
        <f t="shared" ref="D22:R22" si="1">SUM(D18:D21)</f>
        <v>0</v>
      </c>
      <c r="E22" s="757">
        <f t="shared" si="1"/>
        <v>5.5409928016208099</v>
      </c>
      <c r="F22" s="757">
        <f t="shared" si="1"/>
        <v>195.20387949326727</v>
      </c>
      <c r="G22" s="757">
        <f t="shared" si="1"/>
        <v>0</v>
      </c>
      <c r="H22" s="757">
        <f t="shared" si="1"/>
        <v>55909.697600119551</v>
      </c>
      <c r="I22" s="757">
        <f t="shared" si="1"/>
        <v>10052.724789338446</v>
      </c>
      <c r="J22" s="757">
        <f t="shared" si="1"/>
        <v>0</v>
      </c>
      <c r="K22" s="757">
        <f t="shared" si="1"/>
        <v>0</v>
      </c>
      <c r="L22" s="757">
        <f t="shared" si="1"/>
        <v>0</v>
      </c>
      <c r="M22" s="757">
        <f t="shared" si="1"/>
        <v>0</v>
      </c>
      <c r="N22" s="757">
        <f t="shared" si="1"/>
        <v>2982.2807012826138</v>
      </c>
      <c r="O22" s="757">
        <f t="shared" si="1"/>
        <v>0</v>
      </c>
      <c r="P22" s="757">
        <f t="shared" si="1"/>
        <v>0</v>
      </c>
      <c r="Q22" s="757">
        <f t="shared" si="1"/>
        <v>0</v>
      </c>
      <c r="R22" s="757">
        <f t="shared" si="1"/>
        <v>69156.754282190857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2820.4470000000001</v>
      </c>
      <c r="D24" s="640">
        <f>+landbouw!C8</f>
        <v>6428.5714285714284</v>
      </c>
      <c r="E24" s="640">
        <f>+landbouw!D8</f>
        <v>3797.843038</v>
      </c>
      <c r="F24" s="640">
        <f>+landbouw!E8</f>
        <v>58.565764466653583</v>
      </c>
      <c r="G24" s="640">
        <f>+landbouw!F8</f>
        <v>9967.5316675693884</v>
      </c>
      <c r="H24" s="640">
        <f>+landbouw!G8</f>
        <v>0</v>
      </c>
      <c r="I24" s="640">
        <f>+landbouw!H8</f>
        <v>0</v>
      </c>
      <c r="J24" s="640">
        <f>+landbouw!I8</f>
        <v>0</v>
      </c>
      <c r="K24" s="640">
        <f>+landbouw!J8</f>
        <v>323.48743205128079</v>
      </c>
      <c r="L24" s="640">
        <f>+landbouw!K8</f>
        <v>0</v>
      </c>
      <c r="M24" s="640">
        <f>+landbouw!L8</f>
        <v>0</v>
      </c>
      <c r="N24" s="640">
        <f>+landbouw!M8</f>
        <v>0</v>
      </c>
      <c r="O24" s="640">
        <f>+landbouw!N8</f>
        <v>0</v>
      </c>
      <c r="P24" s="640">
        <f>+landbouw!O8</f>
        <v>0</v>
      </c>
      <c r="Q24" s="641">
        <f>+landbouw!P8</f>
        <v>0</v>
      </c>
      <c r="R24" s="643">
        <f>SUM(C24:Q24)</f>
        <v>23396.446330658746</v>
      </c>
      <c r="S24" s="67"/>
    </row>
    <row r="25" spans="1:19" s="444" customFormat="1" ht="15" thickBot="1">
      <c r="A25" s="776" t="s">
        <v>806</v>
      </c>
      <c r="B25" s="939"/>
      <c r="C25" s="940">
        <f>IF(Onbekend_ele_kWh="---",0,Onbekend_ele_kWh)/1000+IF(REST_rest_ele_kWh="---",0,REST_rest_ele_kWh)/1000</f>
        <v>375.78</v>
      </c>
      <c r="D25" s="940"/>
      <c r="E25" s="940">
        <f>IF(onbekend_gas_kWh="---",0,onbekend_gas_kWh)/1000+IF(REST_rest_gas_kWh="---",0,REST_rest_gas_kWh)/1000</f>
        <v>5048.1639999999998</v>
      </c>
      <c r="F25" s="940"/>
      <c r="G25" s="940"/>
      <c r="H25" s="940"/>
      <c r="I25" s="940"/>
      <c r="J25" s="940"/>
      <c r="K25" s="940"/>
      <c r="L25" s="940"/>
      <c r="M25" s="940"/>
      <c r="N25" s="940"/>
      <c r="O25" s="940"/>
      <c r="P25" s="940"/>
      <c r="Q25" s="941"/>
      <c r="R25" s="643">
        <f>SUM(C25:Q25)</f>
        <v>5423.9439999999995</v>
      </c>
      <c r="S25" s="67"/>
    </row>
    <row r="26" spans="1:19" s="444" customFormat="1" ht="15.75" thickBot="1">
      <c r="A26" s="648" t="s">
        <v>807</v>
      </c>
      <c r="B26" s="762"/>
      <c r="C26" s="757">
        <f>SUM(C24:C25)</f>
        <v>3196.2269999999999</v>
      </c>
      <c r="D26" s="757">
        <f t="shared" ref="D26:R26" si="2">SUM(D24:D25)</f>
        <v>6428.5714285714284</v>
      </c>
      <c r="E26" s="757">
        <f t="shared" si="2"/>
        <v>8846.0070379999997</v>
      </c>
      <c r="F26" s="757">
        <f t="shared" si="2"/>
        <v>58.565764466653583</v>
      </c>
      <c r="G26" s="757">
        <f t="shared" si="2"/>
        <v>9967.5316675693884</v>
      </c>
      <c r="H26" s="757">
        <f t="shared" si="2"/>
        <v>0</v>
      </c>
      <c r="I26" s="757">
        <f t="shared" si="2"/>
        <v>0</v>
      </c>
      <c r="J26" s="757">
        <f t="shared" si="2"/>
        <v>0</v>
      </c>
      <c r="K26" s="757">
        <f t="shared" si="2"/>
        <v>323.48743205128079</v>
      </c>
      <c r="L26" s="757">
        <f t="shared" si="2"/>
        <v>0</v>
      </c>
      <c r="M26" s="757">
        <f t="shared" si="2"/>
        <v>0</v>
      </c>
      <c r="N26" s="757">
        <f t="shared" si="2"/>
        <v>0</v>
      </c>
      <c r="O26" s="757">
        <f t="shared" si="2"/>
        <v>0</v>
      </c>
      <c r="P26" s="757">
        <f t="shared" si="2"/>
        <v>0</v>
      </c>
      <c r="Q26" s="757">
        <f t="shared" si="2"/>
        <v>0</v>
      </c>
      <c r="R26" s="757">
        <f t="shared" si="2"/>
        <v>28820.390330658745</v>
      </c>
      <c r="S26" s="67"/>
    </row>
    <row r="27" spans="1:19" s="444" customFormat="1" ht="17.25" thickTop="1" thickBot="1">
      <c r="A27" s="649" t="s">
        <v>109</v>
      </c>
      <c r="B27" s="749"/>
      <c r="C27" s="650">
        <f ca="1">C22+C16+C26</f>
        <v>46928.81125371821</v>
      </c>
      <c r="D27" s="650">
        <f t="shared" ref="D27:R27" ca="1" si="3">D22+D16+D26</f>
        <v>6428.5714285714284</v>
      </c>
      <c r="E27" s="650">
        <f t="shared" ca="1" si="3"/>
        <v>50507.606496801614</v>
      </c>
      <c r="F27" s="650">
        <f t="shared" si="3"/>
        <v>2699.843305794011</v>
      </c>
      <c r="G27" s="650">
        <f t="shared" ca="1" si="3"/>
        <v>70181.160826528474</v>
      </c>
      <c r="H27" s="650">
        <f t="shared" si="3"/>
        <v>55909.697600119551</v>
      </c>
      <c r="I27" s="650">
        <f t="shared" si="3"/>
        <v>10052.724789338446</v>
      </c>
      <c r="J27" s="650">
        <f t="shared" si="3"/>
        <v>0</v>
      </c>
      <c r="K27" s="650">
        <f t="shared" si="3"/>
        <v>1393.1653498875262</v>
      </c>
      <c r="L27" s="650">
        <f t="shared" si="3"/>
        <v>0</v>
      </c>
      <c r="M27" s="650">
        <f t="shared" ca="1" si="3"/>
        <v>0</v>
      </c>
      <c r="N27" s="650">
        <f t="shared" si="3"/>
        <v>2982.2807012826138</v>
      </c>
      <c r="O27" s="650">
        <f t="shared" ca="1" si="3"/>
        <v>9778.1232061920346</v>
      </c>
      <c r="P27" s="650">
        <f t="shared" si="3"/>
        <v>212.61333333333334</v>
      </c>
      <c r="Q27" s="650">
        <f t="shared" si="3"/>
        <v>552.93333333333328</v>
      </c>
      <c r="R27" s="650">
        <f t="shared" ca="1" si="3"/>
        <v>257627.53162490058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2386.9027309290914</v>
      </c>
      <c r="D40" s="640">
        <f ca="1">tertiair!C20</f>
        <v>0</v>
      </c>
      <c r="E40" s="640">
        <f ca="1">tertiair!D20</f>
        <v>1363.6792362160002</v>
      </c>
      <c r="F40" s="640">
        <f>tertiair!E20</f>
        <v>15.757809824231787</v>
      </c>
      <c r="G40" s="640">
        <f ca="1">tertiair!F20</f>
        <v>433.23592518569535</v>
      </c>
      <c r="H40" s="640">
        <f>tertiair!G20</f>
        <v>0</v>
      </c>
      <c r="I40" s="640">
        <f>tertiair!H20</f>
        <v>0</v>
      </c>
      <c r="J40" s="640">
        <f>tertiair!I20</f>
        <v>0</v>
      </c>
      <c r="K40" s="640">
        <f>tertiair!J20</f>
        <v>16.009225132474306</v>
      </c>
      <c r="L40" s="640">
        <f>tertiair!K20</f>
        <v>0</v>
      </c>
      <c r="M40" s="640">
        <f ca="1">tertiair!L20</f>
        <v>0</v>
      </c>
      <c r="N40" s="640">
        <f>tertiair!M20</f>
        <v>0</v>
      </c>
      <c r="O40" s="640">
        <f ca="1">tertiair!N20</f>
        <v>0</v>
      </c>
      <c r="P40" s="640">
        <f>tertiair!O20</f>
        <v>0</v>
      </c>
      <c r="Q40" s="717">
        <f>tertiair!P20</f>
        <v>0</v>
      </c>
      <c r="R40" s="795">
        <f t="shared" ca="1" si="4"/>
        <v>4215.584927287493</v>
      </c>
    </row>
    <row r="41" spans="1:18">
      <c r="A41" s="767" t="s">
        <v>214</v>
      </c>
      <c r="B41" s="774"/>
      <c r="C41" s="640">
        <f ca="1">huishoudens!B12</f>
        <v>4073.6449795714479</v>
      </c>
      <c r="D41" s="640">
        <f ca="1">huishoudens!C12</f>
        <v>0</v>
      </c>
      <c r="E41" s="640">
        <f>huishoudens!D12</f>
        <v>6745.2334403080004</v>
      </c>
      <c r="F41" s="640">
        <f>huishoudens!E12</f>
        <v>399.12963366263756</v>
      </c>
      <c r="G41" s="640">
        <f>huishoudens!F12</f>
        <v>14386.849586079921</v>
      </c>
      <c r="H41" s="640">
        <f>huishoudens!G12</f>
        <v>0</v>
      </c>
      <c r="I41" s="640">
        <f>huishoudens!H12</f>
        <v>0</v>
      </c>
      <c r="J41" s="640">
        <f>huishoudens!I12</f>
        <v>0</v>
      </c>
      <c r="K41" s="640">
        <f>huishoudens!J12</f>
        <v>361.23682655287348</v>
      </c>
      <c r="L41" s="640">
        <f>huishoudens!K12</f>
        <v>0</v>
      </c>
      <c r="M41" s="640">
        <f>huishoudens!L12</f>
        <v>0</v>
      </c>
      <c r="N41" s="640">
        <f>huishoudens!M12</f>
        <v>0</v>
      </c>
      <c r="O41" s="640">
        <f>huishoudens!N12</f>
        <v>0</v>
      </c>
      <c r="P41" s="640">
        <f>huishoudens!O12</f>
        <v>0</v>
      </c>
      <c r="Q41" s="717">
        <f>huishoudens!P12</f>
        <v>0</v>
      </c>
      <c r="R41" s="795">
        <f t="shared" ca="1" si="4"/>
        <v>25966.094466174884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921.6259620300707</v>
      </c>
      <c r="D43" s="640">
        <f ca="1">industrie!C22</f>
        <v>0</v>
      </c>
      <c r="E43" s="640">
        <f>industrie!D22</f>
        <v>305.6111336080001</v>
      </c>
      <c r="F43" s="640">
        <f>industrie!E22</f>
        <v>140.37127774946921</v>
      </c>
      <c r="G43" s="640">
        <f>industrie!F22</f>
        <v>1256.9534741764596</v>
      </c>
      <c r="H43" s="640">
        <f>industrie!G22</f>
        <v>0</v>
      </c>
      <c r="I43" s="640">
        <f>industrie!H22</f>
        <v>0</v>
      </c>
      <c r="J43" s="640">
        <f>industrie!I22</f>
        <v>0</v>
      </c>
      <c r="K43" s="640">
        <f>industrie!J22</f>
        <v>1.4199312286830987</v>
      </c>
      <c r="L43" s="640">
        <f>industrie!K22</f>
        <v>0</v>
      </c>
      <c r="M43" s="640">
        <f>industrie!L22</f>
        <v>0</v>
      </c>
      <c r="N43" s="640">
        <f>industrie!M22</f>
        <v>0</v>
      </c>
      <c r="O43" s="640">
        <f>industrie!N22</f>
        <v>0</v>
      </c>
      <c r="P43" s="640">
        <f>industrie!O22</f>
        <v>0</v>
      </c>
      <c r="Q43" s="717">
        <f>industrie!P22</f>
        <v>0</v>
      </c>
      <c r="R43" s="794">
        <f t="shared" ca="1" si="4"/>
        <v>2625.9817787926827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7382.17367253061</v>
      </c>
      <c r="D46" s="675">
        <f t="shared" ref="D46:Q46" ca="1" si="5">SUM(D39:D45)</f>
        <v>0</v>
      </c>
      <c r="E46" s="675">
        <f t="shared" ca="1" si="5"/>
        <v>8414.523810132001</v>
      </c>
      <c r="F46" s="675">
        <f t="shared" si="5"/>
        <v>555.2587212363386</v>
      </c>
      <c r="G46" s="675">
        <f t="shared" ca="1" si="5"/>
        <v>16077.038985442077</v>
      </c>
      <c r="H46" s="675">
        <f t="shared" si="5"/>
        <v>0</v>
      </c>
      <c r="I46" s="675">
        <f t="shared" si="5"/>
        <v>0</v>
      </c>
      <c r="J46" s="675">
        <f t="shared" si="5"/>
        <v>0</v>
      </c>
      <c r="K46" s="675">
        <f t="shared" si="5"/>
        <v>378.66598291403085</v>
      </c>
      <c r="L46" s="675">
        <f t="shared" si="5"/>
        <v>0</v>
      </c>
      <c r="M46" s="675">
        <f t="shared" ca="1" si="5"/>
        <v>0</v>
      </c>
      <c r="N46" s="675">
        <f t="shared" si="5"/>
        <v>0</v>
      </c>
      <c r="O46" s="675">
        <f t="shared" ca="1" si="5"/>
        <v>0</v>
      </c>
      <c r="P46" s="675">
        <f t="shared" si="5"/>
        <v>0</v>
      </c>
      <c r="Q46" s="675">
        <f t="shared" si="5"/>
        <v>0</v>
      </c>
      <c r="R46" s="675">
        <f ca="1">SUM(R39:R45)</f>
        <v>32807.661172255059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0.98044424774532346</v>
      </c>
      <c r="D49" s="640">
        <f ca="1">transport!C58</f>
        <v>0</v>
      </c>
      <c r="E49" s="640">
        <f>transport!D58</f>
        <v>0</v>
      </c>
      <c r="F49" s="640">
        <f>transport!E58</f>
        <v>0</v>
      </c>
      <c r="G49" s="640">
        <f>transport!F58</f>
        <v>0</v>
      </c>
      <c r="H49" s="640">
        <f>transport!G58</f>
        <v>301.77588810097694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302.75633234872225</v>
      </c>
    </row>
    <row r="50" spans="1:18">
      <c r="A50" s="770" t="s">
        <v>296</v>
      </c>
      <c r="B50" s="780"/>
      <c r="C50" s="646">
        <f ca="1">transport!B18</f>
        <v>0.92858530365158176</v>
      </c>
      <c r="D50" s="646">
        <f>transport!C18</f>
        <v>0</v>
      </c>
      <c r="E50" s="646">
        <f>transport!D18</f>
        <v>1.1192805459274036</v>
      </c>
      <c r="F50" s="646">
        <f>transport!E18</f>
        <v>44.311280644971674</v>
      </c>
      <c r="G50" s="646">
        <f>transport!F18</f>
        <v>0</v>
      </c>
      <c r="H50" s="646">
        <f>transport!G18</f>
        <v>14626.113371130945</v>
      </c>
      <c r="I50" s="646">
        <f>transport!H18</f>
        <v>2503.1284725452733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17175.600990170769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1.9090295513969053</v>
      </c>
      <c r="D52" s="675">
        <f t="shared" ref="D52:Q52" ca="1" si="6">SUM(D48:D51)</f>
        <v>0</v>
      </c>
      <c r="E52" s="675">
        <f t="shared" si="6"/>
        <v>1.1192805459274036</v>
      </c>
      <c r="F52" s="675">
        <f t="shared" si="6"/>
        <v>44.311280644971674</v>
      </c>
      <c r="G52" s="675">
        <f t="shared" si="6"/>
        <v>0</v>
      </c>
      <c r="H52" s="675">
        <f t="shared" si="6"/>
        <v>14927.889259231923</v>
      </c>
      <c r="I52" s="675">
        <f t="shared" si="6"/>
        <v>2503.1284725452733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17478.357322519492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476.22188947291392</v>
      </c>
      <c r="D54" s="646">
        <f ca="1">+landbouw!C12</f>
        <v>0</v>
      </c>
      <c r="E54" s="646">
        <f>+landbouw!D12</f>
        <v>767.16429367600006</v>
      </c>
      <c r="F54" s="646">
        <f>+landbouw!E12</f>
        <v>13.294428533930363</v>
      </c>
      <c r="G54" s="646">
        <f>+landbouw!F12</f>
        <v>2661.3309552410269</v>
      </c>
      <c r="H54" s="646">
        <f>+landbouw!G12</f>
        <v>0</v>
      </c>
      <c r="I54" s="646">
        <f>+landbouw!H12</f>
        <v>0</v>
      </c>
      <c r="J54" s="646">
        <f>+landbouw!I12</f>
        <v>0</v>
      </c>
      <c r="K54" s="646">
        <f>+landbouw!J12</f>
        <v>114.51455094615339</v>
      </c>
      <c r="L54" s="646">
        <f>+landbouw!K12</f>
        <v>0</v>
      </c>
      <c r="M54" s="646">
        <f>+landbouw!L12</f>
        <v>0</v>
      </c>
      <c r="N54" s="646">
        <f>+landbouw!M12</f>
        <v>0</v>
      </c>
      <c r="O54" s="646">
        <f>+landbouw!N12</f>
        <v>0</v>
      </c>
      <c r="P54" s="646">
        <f>+landbouw!O12</f>
        <v>0</v>
      </c>
      <c r="Q54" s="647">
        <f>+landbouw!P12</f>
        <v>0</v>
      </c>
      <c r="R54" s="674">
        <f ca="1">SUM(C54:Q54)</f>
        <v>4032.5261178700248</v>
      </c>
    </row>
    <row r="55" spans="1:18" ht="15" thickBot="1">
      <c r="A55" s="770" t="s">
        <v>806</v>
      </c>
      <c r="B55" s="780"/>
      <c r="C55" s="646">
        <f ca="1">C25*'EF ele_warmte'!B12</f>
        <v>63.449042519193434</v>
      </c>
      <c r="D55" s="646"/>
      <c r="E55" s="646">
        <f>E25*EF_CO2_aardgas</f>
        <v>1019.7291280000001</v>
      </c>
      <c r="F55" s="646"/>
      <c r="G55" s="646"/>
      <c r="H55" s="646"/>
      <c r="I55" s="646"/>
      <c r="J55" s="646"/>
      <c r="K55" s="646"/>
      <c r="L55" s="646"/>
      <c r="M55" s="646"/>
      <c r="N55" s="646"/>
      <c r="O55" s="646"/>
      <c r="P55" s="646"/>
      <c r="Q55" s="647"/>
      <c r="R55" s="674">
        <f ca="1">SUM(C55:Q55)</f>
        <v>1083.1781705191936</v>
      </c>
    </row>
    <row r="56" spans="1:18" ht="15.75" thickBot="1">
      <c r="A56" s="768" t="s">
        <v>807</v>
      </c>
      <c r="B56" s="781"/>
      <c r="C56" s="675">
        <f ca="1">SUM(C54:C55)</f>
        <v>539.6709319921074</v>
      </c>
      <c r="D56" s="675">
        <f t="shared" ref="D56:Q56" ca="1" si="7">SUM(D54:D55)</f>
        <v>0</v>
      </c>
      <c r="E56" s="675">
        <f t="shared" si="7"/>
        <v>1786.8934216760001</v>
      </c>
      <c r="F56" s="675">
        <f t="shared" si="7"/>
        <v>13.294428533930363</v>
      </c>
      <c r="G56" s="675">
        <f t="shared" si="7"/>
        <v>2661.3309552410269</v>
      </c>
      <c r="H56" s="675">
        <f t="shared" si="7"/>
        <v>0</v>
      </c>
      <c r="I56" s="675">
        <f t="shared" si="7"/>
        <v>0</v>
      </c>
      <c r="J56" s="675">
        <f t="shared" si="7"/>
        <v>0</v>
      </c>
      <c r="K56" s="675">
        <f t="shared" si="7"/>
        <v>114.51455094615339</v>
      </c>
      <c r="L56" s="675">
        <f t="shared" si="7"/>
        <v>0</v>
      </c>
      <c r="M56" s="675">
        <f t="shared" si="7"/>
        <v>0</v>
      </c>
      <c r="N56" s="675">
        <f t="shared" si="7"/>
        <v>0</v>
      </c>
      <c r="O56" s="675">
        <f t="shared" si="7"/>
        <v>0</v>
      </c>
      <c r="P56" s="675">
        <f t="shared" si="7"/>
        <v>0</v>
      </c>
      <c r="Q56" s="676">
        <f t="shared" si="7"/>
        <v>0</v>
      </c>
      <c r="R56" s="677">
        <f ca="1">SUM(R54:R55)</f>
        <v>5115.7042883892182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7923.7536340741144</v>
      </c>
      <c r="D61" s="683">
        <f t="shared" ref="D61:Q61" ca="1" si="8">D46+D52+D56</f>
        <v>0</v>
      </c>
      <c r="E61" s="683">
        <f t="shared" ca="1" si="8"/>
        <v>10202.536512353929</v>
      </c>
      <c r="F61" s="683">
        <f t="shared" si="8"/>
        <v>612.86443041524069</v>
      </c>
      <c r="G61" s="683">
        <f t="shared" ca="1" si="8"/>
        <v>18738.369940683104</v>
      </c>
      <c r="H61" s="683">
        <f t="shared" si="8"/>
        <v>14927.889259231923</v>
      </c>
      <c r="I61" s="683">
        <f t="shared" si="8"/>
        <v>2503.1284725452733</v>
      </c>
      <c r="J61" s="683">
        <f t="shared" si="8"/>
        <v>0</v>
      </c>
      <c r="K61" s="683">
        <f t="shared" si="8"/>
        <v>493.18053386018425</v>
      </c>
      <c r="L61" s="683">
        <f t="shared" si="8"/>
        <v>0</v>
      </c>
      <c r="M61" s="683">
        <f t="shared" ca="1" si="8"/>
        <v>0</v>
      </c>
      <c r="N61" s="683">
        <f t="shared" si="8"/>
        <v>0</v>
      </c>
      <c r="O61" s="683">
        <f t="shared" ca="1" si="8"/>
        <v>0</v>
      </c>
      <c r="P61" s="683">
        <f t="shared" si="8"/>
        <v>0</v>
      </c>
      <c r="Q61" s="683">
        <f t="shared" si="8"/>
        <v>0</v>
      </c>
      <c r="R61" s="683">
        <f ca="1">R46+R52+R56</f>
        <v>55401.722783163772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0.16884624652507704</v>
      </c>
      <c r="D63" s="726">
        <f t="shared" ca="1" si="9"/>
        <v>0</v>
      </c>
      <c r="E63" s="946">
        <f t="shared" ca="1" si="9"/>
        <v>0.20200000000000004</v>
      </c>
      <c r="F63" s="726">
        <f t="shared" si="9"/>
        <v>0.22700000000000006</v>
      </c>
      <c r="G63" s="726">
        <f t="shared" ca="1" si="9"/>
        <v>0.26700000000000002</v>
      </c>
      <c r="H63" s="726">
        <f t="shared" si="9"/>
        <v>0.26700000000000007</v>
      </c>
      <c r="I63" s="726">
        <f t="shared" si="9"/>
        <v>0.24900000000000003</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6574.722411753889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4500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5294.1176470588243</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11074.72241175389</v>
      </c>
      <c r="C78" s="698">
        <f>SUM(C72:C77)</f>
        <v>0</v>
      </c>
      <c r="D78" s="699">
        <f t="shared" ref="D78:H78" si="10">SUM(D76:D77)</f>
        <v>0</v>
      </c>
      <c r="E78" s="699">
        <f t="shared" si="10"/>
        <v>0</v>
      </c>
      <c r="F78" s="699">
        <f t="shared" si="10"/>
        <v>0</v>
      </c>
      <c r="G78" s="699">
        <f t="shared" si="10"/>
        <v>0</v>
      </c>
      <c r="H78" s="699">
        <f t="shared" si="10"/>
        <v>0</v>
      </c>
      <c r="I78" s="699">
        <f>SUM(I76:I77)</f>
        <v>0</v>
      </c>
      <c r="J78" s="699">
        <f>SUM(J76:J77)</f>
        <v>5294.1176470588243</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6428.5714285714284</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7563.0252100840344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6428.5714285714284</v>
      </c>
      <c r="C90" s="698">
        <f>SUM(C87:C89)</f>
        <v>0</v>
      </c>
      <c r="D90" s="698">
        <f t="shared" ref="D90:H90" si="12">SUM(D87:D89)</f>
        <v>0</v>
      </c>
      <c r="E90" s="698">
        <f t="shared" si="12"/>
        <v>0</v>
      </c>
      <c r="F90" s="698">
        <f t="shared" si="12"/>
        <v>0</v>
      </c>
      <c r="G90" s="698">
        <f t="shared" si="12"/>
        <v>0</v>
      </c>
      <c r="H90" s="698">
        <f t="shared" si="12"/>
        <v>0</v>
      </c>
      <c r="I90" s="698">
        <f>SUM(I87:I89)</f>
        <v>0</v>
      </c>
      <c r="J90" s="698">
        <f>SUM(J87:J89)</f>
        <v>7563.0252100840344</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24126.357934562857</v>
      </c>
      <c r="C4" s="448">
        <f>huishoudens!C8</f>
        <v>0</v>
      </c>
      <c r="D4" s="448">
        <f>huishoudens!D8</f>
        <v>33392.244753999999</v>
      </c>
      <c r="E4" s="448">
        <f>huishoudens!E8</f>
        <v>1758.2803245050111</v>
      </c>
      <c r="F4" s="448">
        <f>huishoudens!F8</f>
        <v>53883.331783070862</v>
      </c>
      <c r="G4" s="448">
        <f>huishoudens!G8</f>
        <v>0</v>
      </c>
      <c r="H4" s="448">
        <f>huishoudens!H8</f>
        <v>0</v>
      </c>
      <c r="I4" s="448">
        <f>huishoudens!I8</f>
        <v>0</v>
      </c>
      <c r="J4" s="448">
        <f>huishoudens!J8</f>
        <v>1020.4430128612246</v>
      </c>
      <c r="K4" s="448">
        <f>huishoudens!K8</f>
        <v>0</v>
      </c>
      <c r="L4" s="448">
        <f>huishoudens!L8</f>
        <v>0</v>
      </c>
      <c r="M4" s="448">
        <f>huishoudens!M8</f>
        <v>0</v>
      </c>
      <c r="N4" s="448">
        <f>huishoudens!N8</f>
        <v>8362.2401103582288</v>
      </c>
      <c r="O4" s="448">
        <f>huishoudens!O8</f>
        <v>207.92333333333335</v>
      </c>
      <c r="P4" s="449">
        <f>huishoudens!P8</f>
        <v>514.79999999999995</v>
      </c>
      <c r="Q4" s="450">
        <f>SUM(B4:P4)</f>
        <v>123265.62125269152</v>
      </c>
    </row>
    <row r="5" spans="1:17">
      <c r="A5" s="447" t="s">
        <v>149</v>
      </c>
      <c r="B5" s="448">
        <f ca="1">tertiair!B16</f>
        <v>13225.786</v>
      </c>
      <c r="C5" s="448">
        <f ca="1">tertiair!C16</f>
        <v>0</v>
      </c>
      <c r="D5" s="448">
        <f ca="1">tertiair!D16</f>
        <v>6750.8873080000003</v>
      </c>
      <c r="E5" s="448">
        <f>tertiair!E16</f>
        <v>69.417664423928571</v>
      </c>
      <c r="F5" s="448">
        <f ca="1">tertiair!F16</f>
        <v>1622.6064613696453</v>
      </c>
      <c r="G5" s="448">
        <f>tertiair!G16</f>
        <v>0</v>
      </c>
      <c r="H5" s="448">
        <f>tertiair!H16</f>
        <v>0</v>
      </c>
      <c r="I5" s="448">
        <f>tertiair!I16</f>
        <v>0</v>
      </c>
      <c r="J5" s="448">
        <f>tertiair!J16</f>
        <v>45.223799809249456</v>
      </c>
      <c r="K5" s="448">
        <f>tertiair!K16</f>
        <v>0</v>
      </c>
      <c r="L5" s="448">
        <f ca="1">tertiair!L16</f>
        <v>0</v>
      </c>
      <c r="M5" s="448">
        <f>tertiair!M16</f>
        <v>0</v>
      </c>
      <c r="N5" s="448">
        <f ca="1">tertiair!N16</f>
        <v>623.80687722527409</v>
      </c>
      <c r="O5" s="448">
        <f>tertiair!O16</f>
        <v>4.6900000000000004</v>
      </c>
      <c r="P5" s="449">
        <f>tertiair!P16</f>
        <v>38.133333333333333</v>
      </c>
      <c r="Q5" s="447">
        <f t="shared" ref="Q5:Q14" ca="1" si="0">SUM(B5:P5)</f>
        <v>22380.551444161432</v>
      </c>
    </row>
    <row r="6" spans="1:17">
      <c r="A6" s="447" t="s">
        <v>187</v>
      </c>
      <c r="B6" s="448">
        <f>'openbare verlichting'!B8</f>
        <v>910.76</v>
      </c>
      <c r="C6" s="448"/>
      <c r="D6" s="448"/>
      <c r="E6" s="448"/>
      <c r="F6" s="448"/>
      <c r="G6" s="448"/>
      <c r="H6" s="448"/>
      <c r="I6" s="448"/>
      <c r="J6" s="448"/>
      <c r="K6" s="448"/>
      <c r="L6" s="448"/>
      <c r="M6" s="448"/>
      <c r="N6" s="448"/>
      <c r="O6" s="448"/>
      <c r="P6" s="449"/>
      <c r="Q6" s="447">
        <f t="shared" si="0"/>
        <v>910.76</v>
      </c>
    </row>
    <row r="7" spans="1:17">
      <c r="A7" s="447" t="s">
        <v>105</v>
      </c>
      <c r="B7" s="448">
        <f>landbouw!B8</f>
        <v>2820.4470000000001</v>
      </c>
      <c r="C7" s="448">
        <f>landbouw!C8</f>
        <v>6428.5714285714284</v>
      </c>
      <c r="D7" s="448">
        <f>landbouw!D8</f>
        <v>3797.843038</v>
      </c>
      <c r="E7" s="448">
        <f>landbouw!E8</f>
        <v>58.565764466653583</v>
      </c>
      <c r="F7" s="448">
        <f>landbouw!F8</f>
        <v>9967.5316675693884</v>
      </c>
      <c r="G7" s="448">
        <f>landbouw!G8</f>
        <v>0</v>
      </c>
      <c r="H7" s="448">
        <f>landbouw!H8</f>
        <v>0</v>
      </c>
      <c r="I7" s="448">
        <f>landbouw!I8</f>
        <v>0</v>
      </c>
      <c r="J7" s="448">
        <f>landbouw!J8</f>
        <v>323.48743205128079</v>
      </c>
      <c r="K7" s="448">
        <f>landbouw!K8</f>
        <v>0</v>
      </c>
      <c r="L7" s="448">
        <f>landbouw!L8</f>
        <v>0</v>
      </c>
      <c r="M7" s="448">
        <f>landbouw!M8</f>
        <v>0</v>
      </c>
      <c r="N7" s="448">
        <f>landbouw!N8</f>
        <v>0</v>
      </c>
      <c r="O7" s="448">
        <f>landbouw!O8</f>
        <v>0</v>
      </c>
      <c r="P7" s="449">
        <f>landbouw!P8</f>
        <v>0</v>
      </c>
      <c r="Q7" s="447">
        <f t="shared" si="0"/>
        <v>23396.446330658746</v>
      </c>
    </row>
    <row r="8" spans="1:17">
      <c r="A8" s="447" t="s">
        <v>614</v>
      </c>
      <c r="B8" s="448">
        <f>industrie!B18</f>
        <v>5458.3739999999998</v>
      </c>
      <c r="C8" s="448">
        <f>industrie!C18</f>
        <v>0</v>
      </c>
      <c r="D8" s="448">
        <f>industrie!D18</f>
        <v>1512.9264040000003</v>
      </c>
      <c r="E8" s="448">
        <f>industrie!E18</f>
        <v>618.37567290515074</v>
      </c>
      <c r="F8" s="448">
        <f>industrie!F18</f>
        <v>4707.6909145185755</v>
      </c>
      <c r="G8" s="448">
        <f>industrie!G18</f>
        <v>0</v>
      </c>
      <c r="H8" s="448">
        <f>industrie!H18</f>
        <v>0</v>
      </c>
      <c r="I8" s="448">
        <f>industrie!I18</f>
        <v>0</v>
      </c>
      <c r="J8" s="448">
        <f>industrie!J18</f>
        <v>4.0111051657714656</v>
      </c>
      <c r="K8" s="448">
        <f>industrie!K18</f>
        <v>0</v>
      </c>
      <c r="L8" s="448">
        <f>industrie!L18</f>
        <v>0</v>
      </c>
      <c r="M8" s="448">
        <f>industrie!M18</f>
        <v>0</v>
      </c>
      <c r="N8" s="448">
        <f>industrie!N18</f>
        <v>792.0762186085318</v>
      </c>
      <c r="O8" s="448">
        <f>industrie!O18</f>
        <v>0</v>
      </c>
      <c r="P8" s="449">
        <f>industrie!P18</f>
        <v>0</v>
      </c>
      <c r="Q8" s="447">
        <f t="shared" si="0"/>
        <v>13093.454315198029</v>
      </c>
    </row>
    <row r="9" spans="1:17" s="453" customFormat="1">
      <c r="A9" s="451" t="s">
        <v>555</v>
      </c>
      <c r="B9" s="452">
        <f>transport!B14</f>
        <v>5.4995910348156212</v>
      </c>
      <c r="C9" s="452">
        <f>transport!C14</f>
        <v>0</v>
      </c>
      <c r="D9" s="452">
        <f>transport!D14</f>
        <v>5.5409928016208099</v>
      </c>
      <c r="E9" s="452">
        <f>transport!E14</f>
        <v>195.20387949326727</v>
      </c>
      <c r="F9" s="452">
        <f>transport!F14</f>
        <v>0</v>
      </c>
      <c r="G9" s="452">
        <f>transport!G14</f>
        <v>54779.45082820578</v>
      </c>
      <c r="H9" s="452">
        <f>transport!H14</f>
        <v>10052.724789338446</v>
      </c>
      <c r="I9" s="452">
        <f>transport!I14</f>
        <v>0</v>
      </c>
      <c r="J9" s="452">
        <f>transport!J14</f>
        <v>0</v>
      </c>
      <c r="K9" s="452">
        <f>transport!K14</f>
        <v>0</v>
      </c>
      <c r="L9" s="452">
        <f>transport!L14</f>
        <v>0</v>
      </c>
      <c r="M9" s="452">
        <f>transport!M14</f>
        <v>2931.5994863228325</v>
      </c>
      <c r="N9" s="452">
        <f>transport!N14</f>
        <v>0</v>
      </c>
      <c r="O9" s="452">
        <f>transport!O14</f>
        <v>0</v>
      </c>
      <c r="P9" s="452">
        <f>transport!P14</f>
        <v>0</v>
      </c>
      <c r="Q9" s="451">
        <f>SUM(B9:P9)</f>
        <v>67970.019567196767</v>
      </c>
    </row>
    <row r="10" spans="1:17">
      <c r="A10" s="447" t="s">
        <v>545</v>
      </c>
      <c r="B10" s="448">
        <f>transport!B54</f>
        <v>5.806728120543136</v>
      </c>
      <c r="C10" s="448">
        <f>transport!C54</f>
        <v>0</v>
      </c>
      <c r="D10" s="448">
        <f>transport!D54</f>
        <v>0</v>
      </c>
      <c r="E10" s="448">
        <f>transport!E54</f>
        <v>0</v>
      </c>
      <c r="F10" s="448">
        <f>transport!F54</f>
        <v>0</v>
      </c>
      <c r="G10" s="448">
        <f>transport!G54</f>
        <v>1130.2467719137712</v>
      </c>
      <c r="H10" s="448">
        <f>transport!H54</f>
        <v>0</v>
      </c>
      <c r="I10" s="448">
        <f>transport!I54</f>
        <v>0</v>
      </c>
      <c r="J10" s="448">
        <f>transport!J54</f>
        <v>0</v>
      </c>
      <c r="K10" s="448">
        <f>transport!K54</f>
        <v>0</v>
      </c>
      <c r="L10" s="448">
        <f>transport!L54</f>
        <v>0</v>
      </c>
      <c r="M10" s="448">
        <f>transport!M54</f>
        <v>50.681214959781322</v>
      </c>
      <c r="N10" s="448">
        <f>transport!N54</f>
        <v>0</v>
      </c>
      <c r="O10" s="448">
        <f>transport!O54</f>
        <v>0</v>
      </c>
      <c r="P10" s="449">
        <f>transport!P54</f>
        <v>0</v>
      </c>
      <c r="Q10" s="447">
        <f t="shared" si="0"/>
        <v>1186.7347149940956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375.78</v>
      </c>
      <c r="C14" s="455"/>
      <c r="D14" s="455">
        <f>'SEAP template'!E25</f>
        <v>5048.1639999999998</v>
      </c>
      <c r="E14" s="455"/>
      <c r="F14" s="455"/>
      <c r="G14" s="455"/>
      <c r="H14" s="455"/>
      <c r="I14" s="455"/>
      <c r="J14" s="455"/>
      <c r="K14" s="455"/>
      <c r="L14" s="455"/>
      <c r="M14" s="455"/>
      <c r="N14" s="455"/>
      <c r="O14" s="455"/>
      <c r="P14" s="456"/>
      <c r="Q14" s="447">
        <f t="shared" si="0"/>
        <v>5423.9439999999995</v>
      </c>
    </row>
    <row r="15" spans="1:17" s="460" customFormat="1">
      <c r="A15" s="457" t="s">
        <v>549</v>
      </c>
      <c r="B15" s="458">
        <f ca="1">SUM(B4:B14)</f>
        <v>46928.811253718224</v>
      </c>
      <c r="C15" s="458">
        <f t="shared" ref="C15:Q15" ca="1" si="1">SUM(C4:C14)</f>
        <v>6428.5714285714284</v>
      </c>
      <c r="D15" s="458">
        <f t="shared" ca="1" si="1"/>
        <v>50507.606496801614</v>
      </c>
      <c r="E15" s="458">
        <f t="shared" si="1"/>
        <v>2699.843305794011</v>
      </c>
      <c r="F15" s="458">
        <f t="shared" ca="1" si="1"/>
        <v>70181.160826528474</v>
      </c>
      <c r="G15" s="458">
        <f t="shared" si="1"/>
        <v>55909.697600119551</v>
      </c>
      <c r="H15" s="458">
        <f t="shared" si="1"/>
        <v>10052.724789338446</v>
      </c>
      <c r="I15" s="458">
        <f t="shared" si="1"/>
        <v>0</v>
      </c>
      <c r="J15" s="458">
        <f t="shared" si="1"/>
        <v>1393.1653498875262</v>
      </c>
      <c r="K15" s="458">
        <f t="shared" si="1"/>
        <v>0</v>
      </c>
      <c r="L15" s="458">
        <f t="shared" ca="1" si="1"/>
        <v>0</v>
      </c>
      <c r="M15" s="458">
        <f t="shared" si="1"/>
        <v>2982.2807012826138</v>
      </c>
      <c r="N15" s="458">
        <f t="shared" ca="1" si="1"/>
        <v>9778.1232061920346</v>
      </c>
      <c r="O15" s="458">
        <f t="shared" si="1"/>
        <v>212.61333333333334</v>
      </c>
      <c r="P15" s="458">
        <f t="shared" si="1"/>
        <v>552.93333333333328</v>
      </c>
      <c r="Q15" s="458">
        <f t="shared" ca="1" si="1"/>
        <v>257627.53162490056</v>
      </c>
    </row>
    <row r="17" spans="1:17">
      <c r="A17" s="461" t="s">
        <v>550</v>
      </c>
      <c r="B17" s="731">
        <f ca="1">huishoudens!B10</f>
        <v>0.16884624652507702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4073.6449795714479</v>
      </c>
      <c r="C22" s="448">
        <f t="shared" ref="C22:C32" ca="1" si="3">C4*$C$17</f>
        <v>0</v>
      </c>
      <c r="D22" s="448">
        <f t="shared" ref="D22:D32" si="4">D4*$D$17</f>
        <v>6745.2334403080004</v>
      </c>
      <c r="E22" s="448">
        <f t="shared" ref="E22:E32" si="5">E4*$E$17</f>
        <v>399.12963366263756</v>
      </c>
      <c r="F22" s="448">
        <f t="shared" ref="F22:F32" si="6">F4*$F$17</f>
        <v>14386.849586079921</v>
      </c>
      <c r="G22" s="448">
        <f t="shared" ref="G22:G32" si="7">G4*$G$17</f>
        <v>0</v>
      </c>
      <c r="H22" s="448">
        <f t="shared" ref="H22:H32" si="8">H4*$H$17</f>
        <v>0</v>
      </c>
      <c r="I22" s="448">
        <f t="shared" ref="I22:I32" si="9">I4*$I$17</f>
        <v>0</v>
      </c>
      <c r="J22" s="448">
        <f t="shared" ref="J22:J32" si="10">J4*$J$17</f>
        <v>361.23682655287348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25966.094466174884</v>
      </c>
    </row>
    <row r="23" spans="1:17">
      <c r="A23" s="447" t="s">
        <v>149</v>
      </c>
      <c r="B23" s="448">
        <f t="shared" ca="1" si="2"/>
        <v>2233.1243234439121</v>
      </c>
      <c r="C23" s="448">
        <f t="shared" ca="1" si="3"/>
        <v>0</v>
      </c>
      <c r="D23" s="448">
        <f t="shared" ca="1" si="4"/>
        <v>1363.6792362160002</v>
      </c>
      <c r="E23" s="448">
        <f t="shared" si="5"/>
        <v>15.757809824231787</v>
      </c>
      <c r="F23" s="448">
        <f t="shared" ca="1" si="6"/>
        <v>433.23592518569535</v>
      </c>
      <c r="G23" s="448">
        <f t="shared" si="7"/>
        <v>0</v>
      </c>
      <c r="H23" s="448">
        <f t="shared" si="8"/>
        <v>0</v>
      </c>
      <c r="I23" s="448">
        <f t="shared" si="9"/>
        <v>0</v>
      </c>
      <c r="J23" s="448">
        <f t="shared" si="10"/>
        <v>16.009225132474306</v>
      </c>
      <c r="K23" s="448">
        <f t="shared" si="11"/>
        <v>0</v>
      </c>
      <c r="L23" s="448">
        <f t="shared" ca="1" si="12"/>
        <v>0</v>
      </c>
      <c r="M23" s="448">
        <f t="shared" si="13"/>
        <v>0</v>
      </c>
      <c r="N23" s="448">
        <f t="shared" ca="1" si="14"/>
        <v>0</v>
      </c>
      <c r="O23" s="448">
        <f t="shared" si="15"/>
        <v>0</v>
      </c>
      <c r="P23" s="449">
        <f t="shared" si="16"/>
        <v>0</v>
      </c>
      <c r="Q23" s="447">
        <f t="shared" ref="Q23:Q32" ca="1" si="17">SUM(B23:P23)</f>
        <v>4061.8065198023137</v>
      </c>
    </row>
    <row r="24" spans="1:17">
      <c r="A24" s="447" t="s">
        <v>187</v>
      </c>
      <c r="B24" s="448">
        <f t="shared" ca="1" si="2"/>
        <v>153.77840748517914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153.77840748517914</v>
      </c>
    </row>
    <row r="25" spans="1:17">
      <c r="A25" s="447" t="s">
        <v>105</v>
      </c>
      <c r="B25" s="448">
        <f t="shared" ca="1" si="2"/>
        <v>476.22188947291392</v>
      </c>
      <c r="C25" s="448">
        <f t="shared" ca="1" si="3"/>
        <v>0</v>
      </c>
      <c r="D25" s="448">
        <f t="shared" si="4"/>
        <v>767.16429367600006</v>
      </c>
      <c r="E25" s="448">
        <f t="shared" si="5"/>
        <v>13.294428533930363</v>
      </c>
      <c r="F25" s="448">
        <f t="shared" si="6"/>
        <v>2661.3309552410269</v>
      </c>
      <c r="G25" s="448">
        <f t="shared" si="7"/>
        <v>0</v>
      </c>
      <c r="H25" s="448">
        <f t="shared" si="8"/>
        <v>0</v>
      </c>
      <c r="I25" s="448">
        <f t="shared" si="9"/>
        <v>0</v>
      </c>
      <c r="J25" s="448">
        <f t="shared" si="10"/>
        <v>114.51455094615339</v>
      </c>
      <c r="K25" s="448">
        <f t="shared" si="11"/>
        <v>0</v>
      </c>
      <c r="L25" s="448">
        <f t="shared" si="12"/>
        <v>0</v>
      </c>
      <c r="M25" s="448">
        <f t="shared" si="13"/>
        <v>0</v>
      </c>
      <c r="N25" s="448">
        <f t="shared" si="14"/>
        <v>0</v>
      </c>
      <c r="O25" s="448">
        <f t="shared" si="15"/>
        <v>0</v>
      </c>
      <c r="P25" s="449">
        <f t="shared" si="16"/>
        <v>0</v>
      </c>
      <c r="Q25" s="447">
        <f t="shared" ca="1" si="17"/>
        <v>4032.5261178700248</v>
      </c>
    </row>
    <row r="26" spans="1:17">
      <c r="A26" s="447" t="s">
        <v>614</v>
      </c>
      <c r="B26" s="448">
        <f t="shared" ca="1" si="2"/>
        <v>921.6259620300707</v>
      </c>
      <c r="C26" s="448">
        <f t="shared" ca="1" si="3"/>
        <v>0</v>
      </c>
      <c r="D26" s="448">
        <f t="shared" si="4"/>
        <v>305.6111336080001</v>
      </c>
      <c r="E26" s="448">
        <f t="shared" si="5"/>
        <v>140.37127774946921</v>
      </c>
      <c r="F26" s="448">
        <f t="shared" si="6"/>
        <v>1256.9534741764596</v>
      </c>
      <c r="G26" s="448">
        <f t="shared" si="7"/>
        <v>0</v>
      </c>
      <c r="H26" s="448">
        <f t="shared" si="8"/>
        <v>0</v>
      </c>
      <c r="I26" s="448">
        <f t="shared" si="9"/>
        <v>0</v>
      </c>
      <c r="J26" s="448">
        <f t="shared" si="10"/>
        <v>1.4199312286830987</v>
      </c>
      <c r="K26" s="448">
        <f t="shared" si="11"/>
        <v>0</v>
      </c>
      <c r="L26" s="448">
        <f t="shared" si="12"/>
        <v>0</v>
      </c>
      <c r="M26" s="448">
        <f t="shared" si="13"/>
        <v>0</v>
      </c>
      <c r="N26" s="448">
        <f t="shared" si="14"/>
        <v>0</v>
      </c>
      <c r="O26" s="448">
        <f t="shared" si="15"/>
        <v>0</v>
      </c>
      <c r="P26" s="449">
        <f t="shared" si="16"/>
        <v>0</v>
      </c>
      <c r="Q26" s="447">
        <f t="shared" ca="1" si="17"/>
        <v>2625.9817787926827</v>
      </c>
    </row>
    <row r="27" spans="1:17" s="453" customFormat="1">
      <c r="A27" s="451" t="s">
        <v>555</v>
      </c>
      <c r="B27" s="725">
        <f t="shared" ca="1" si="2"/>
        <v>0.92858530365158176</v>
      </c>
      <c r="C27" s="452">
        <f t="shared" ca="1" si="3"/>
        <v>0</v>
      </c>
      <c r="D27" s="452">
        <f t="shared" si="4"/>
        <v>1.1192805459274036</v>
      </c>
      <c r="E27" s="452">
        <f t="shared" si="5"/>
        <v>44.311280644971674</v>
      </c>
      <c r="F27" s="452">
        <f t="shared" si="6"/>
        <v>0</v>
      </c>
      <c r="G27" s="452">
        <f t="shared" si="7"/>
        <v>14626.113371130945</v>
      </c>
      <c r="H27" s="452">
        <f t="shared" si="8"/>
        <v>2503.1284725452733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17175.600990170769</v>
      </c>
    </row>
    <row r="28" spans="1:17">
      <c r="A28" s="447" t="s">
        <v>545</v>
      </c>
      <c r="B28" s="448">
        <f t="shared" ca="1" si="2"/>
        <v>0.98044424774532346</v>
      </c>
      <c r="C28" s="448">
        <f t="shared" ca="1" si="3"/>
        <v>0</v>
      </c>
      <c r="D28" s="448">
        <f t="shared" si="4"/>
        <v>0</v>
      </c>
      <c r="E28" s="448">
        <f t="shared" si="5"/>
        <v>0</v>
      </c>
      <c r="F28" s="448">
        <f t="shared" si="6"/>
        <v>0</v>
      </c>
      <c r="G28" s="448">
        <f t="shared" si="7"/>
        <v>301.77588810097694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302.75633234872225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63.449042519193434</v>
      </c>
      <c r="C32" s="448">
        <f t="shared" ca="1" si="3"/>
        <v>0</v>
      </c>
      <c r="D32" s="448">
        <f t="shared" si="4"/>
        <v>1019.7291280000001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1083.1781705191936</v>
      </c>
    </row>
    <row r="33" spans="1:17" s="460" customFormat="1">
      <c r="A33" s="457" t="s">
        <v>549</v>
      </c>
      <c r="B33" s="458">
        <f ca="1">SUM(B22:B32)</f>
        <v>7923.7536340741144</v>
      </c>
      <c r="C33" s="458">
        <f t="shared" ref="C33:Q33" ca="1" si="18">SUM(C22:C32)</f>
        <v>0</v>
      </c>
      <c r="D33" s="458">
        <f t="shared" ca="1" si="18"/>
        <v>10202.536512353929</v>
      </c>
      <c r="E33" s="458">
        <f t="shared" si="18"/>
        <v>612.86443041524069</v>
      </c>
      <c r="F33" s="458">
        <f t="shared" ca="1" si="18"/>
        <v>18738.369940683104</v>
      </c>
      <c r="G33" s="458">
        <f t="shared" si="18"/>
        <v>14927.889259231923</v>
      </c>
      <c r="H33" s="458">
        <f t="shared" si="18"/>
        <v>2503.1284725452733</v>
      </c>
      <c r="I33" s="458">
        <f t="shared" si="18"/>
        <v>0</v>
      </c>
      <c r="J33" s="458">
        <f t="shared" si="18"/>
        <v>493.18053386018425</v>
      </c>
      <c r="K33" s="458">
        <f t="shared" si="18"/>
        <v>0</v>
      </c>
      <c r="L33" s="458">
        <f t="shared" ca="1" si="18"/>
        <v>0</v>
      </c>
      <c r="M33" s="458">
        <f t="shared" si="18"/>
        <v>0</v>
      </c>
      <c r="N33" s="458">
        <f t="shared" ca="1" si="18"/>
        <v>0</v>
      </c>
      <c r="O33" s="458">
        <f t="shared" si="18"/>
        <v>0</v>
      </c>
      <c r="P33" s="458">
        <f t="shared" si="18"/>
        <v>0</v>
      </c>
      <c r="Q33" s="458">
        <f t="shared" ca="1" si="18"/>
        <v>55401.722783163765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6574.722411753889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4500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5294.1176470588243</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11074.72241175389</v>
      </c>
      <c r="C10" s="986">
        <f>SUM(C4:C9)</f>
        <v>0</v>
      </c>
      <c r="D10" s="986">
        <f t="shared" ref="D10:H10" si="0">SUM(D8:D9)</f>
        <v>0</v>
      </c>
      <c r="E10" s="986">
        <f t="shared" si="0"/>
        <v>0</v>
      </c>
      <c r="F10" s="986">
        <f t="shared" si="0"/>
        <v>0</v>
      </c>
      <c r="G10" s="986">
        <f t="shared" si="0"/>
        <v>0</v>
      </c>
      <c r="H10" s="986">
        <f t="shared" si="0"/>
        <v>0</v>
      </c>
      <c r="I10" s="986">
        <f>SUM(I8:I9)</f>
        <v>0</v>
      </c>
      <c r="J10" s="986">
        <f>SUM(J8:J9)</f>
        <v>5294.1176470588243</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0.16884624652507702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6428.5714285714284</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7563.0252100840344</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6428.5714285714284</v>
      </c>
      <c r="C20" s="986">
        <f>SUM(C17:C19)</f>
        <v>0</v>
      </c>
      <c r="D20" s="986">
        <f t="shared" ref="D20:H20" si="2">SUM(D17:D19)</f>
        <v>0</v>
      </c>
      <c r="E20" s="986">
        <f t="shared" si="2"/>
        <v>0</v>
      </c>
      <c r="F20" s="986">
        <f t="shared" si="2"/>
        <v>0</v>
      </c>
      <c r="G20" s="986">
        <f t="shared" si="2"/>
        <v>0</v>
      </c>
      <c r="H20" s="986">
        <f t="shared" si="2"/>
        <v>0</v>
      </c>
      <c r="I20" s="986">
        <f>SUM(I17:I19)</f>
        <v>0</v>
      </c>
      <c r="J20" s="986">
        <f>SUM(J17:J19)</f>
        <v>7563.0252100840344</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0.16884624652507702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2022-07-26T12:12:17Z</dcterms:modified>
</cp:coreProperties>
</file>