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92DBD20-8455-47F4-B2FE-8FC2EA5BA69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<sst xmlns="http://schemas.openxmlformats.org/spreadsheetml/2006/main" count="2446" uniqueCount="911">
  <si>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</si>
  <si>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</si>
  <si>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</si>
  <si>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</si>
  <si>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</si>
  <si>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</si>
  <si>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</si>
  <si>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</si>
  <si>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</si>
  <si>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</si>
  <si>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</si>
  <si>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</si>
  <si>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</si>
  <si>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</si>
  <si>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</si>
  <si>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</si>
  <si>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</si>
  <si>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</si>
  <si>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</si>
  <si>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</si>
  <si>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</si>
  <si>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</si>
  <si>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</si>
  <si>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</si>
  <si>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</si>
  <si>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</si>
  <si>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</si>
  <si>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</si>
  <si>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</si>
  <si>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</si>
  <si>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</si>
  <si>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</si>
  <si>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</si>
  <si>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</si>
  <si>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</si>
  <si>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</si>
  <si>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</si>
  <si>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</si>
  <si>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</si>
  <si>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</si>
  <si>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</si>
  <si>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</si>
  <si>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</si>
  <si>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</si>
  <si>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</si>
  <si>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</si>
  <si>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</si>
  <si>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</si>
  <si>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</si>
  <si>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</si>
  <si>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</si>
  <si>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</si>
  <si>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</si>
  <si>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</si>
  <si>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</si>
  <si>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</si>
  <si>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</si>
  <si>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</si>
  <si>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</si>
  <si>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</si>
  <si>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</si>
  <si>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</si>
  <si>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</si>
  <si>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</si>
  <si>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</si>
  <si>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</si>
  <si>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</si>
  <si>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</si>
  <si>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</si>
  <si>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</si>
  <si>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</si>
  <si>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</si>
  <si>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</si>
  <si>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</si>
  <si>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</si>
  <si>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</si>
  <si>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</si>
  <si>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</si>
  <si>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</si>
  <si>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</si>
  <si>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</si>
  <si>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</si>
  <si>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</si>
  <si>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</si>
  <si>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</si>
  <si>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</si>
  <si>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</si>
  <si>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</si>
  <si>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</si>
  <si>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</si>
  <si>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</si>
  <si>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</si>
  <si>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</si>
  <si>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</si>
  <si>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</si>
  <si>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</si>
  <si>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</si>
  <si>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</si>
  <si>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</si>
  <si>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</si>
  <si>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</si>
  <si>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</si>
  <si>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</si>
  <si>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</si>
  <si>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</si>
  <si>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</si>
  <si>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</si>
  <si>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</si>
  <si>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</si>
  <si>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</si>
  <si>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</si>
  <si>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</si>
  <si>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</si>
  <si>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</si>
  <si>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</si>
  <si>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</si>
  <si>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</si>
  <si>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</si>
  <si>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</si>
  <si>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</si>
  <si>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</si>
  <si>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</si>
  <si>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</si>
  <si>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</si>
  <si>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</si>
  <si>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</si>
  <si>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</si>
  <si>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</si>
  <si>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</si>
  <si>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</si>
  <si>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</si>
  <si>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</si>
  <si>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</si>
  <si>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</si>
  <si>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</si>
  <si>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</si>
  <si>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</si>
  <si>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</si>
  <si>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</si>
  <si>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</si>
  <si>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</si>
  <si>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</si>
  <si>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</si>
  <si>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</si>
  <si>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</si>
  <si>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</si>
  <si>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</si>
  <si>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</si>
  <si>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</si>
  <si>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</si>
  <si>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</si>
  <si>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</si>
  <si>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</si>
  <si>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</si>
  <si>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</si>
  <si>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</si>
  <si>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</si>
  <si>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</si>
  <si>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</si>
  <si>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</si>
  <si>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</si>
  <si>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</si>
  <si>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</si>
  <si>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</si>
  <si>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</si>
  <si>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</si>
  <si>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</si>
  <si>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</si>
  <si>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</si>
  <si>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</si>
  <si>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</si>
  <si>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</si>
  <si>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</si>
  <si>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</si>
  <si>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</si>
  <si>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</si>
  <si>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</si>
  <si>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</si>
  <si>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</si>
  <si>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</si>
  <si>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</si>
  <si>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</si>
  <si>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</si>
  <si>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</si>
  <si>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</si>
  <si>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</si>
  <si>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</si>
  <si>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</si>
  <si>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</si>
  <si>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</si>
  <si>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</si>
  <si>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</si>
  <si>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</si>
  <si>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</si>
  <si>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</si>
  <si>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</si>
  <si>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</si>
  <si>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</si>
  <si>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</si>
  <si>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</si>
  <si>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</si>
  <si>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</si>
  <si>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</si>
  <si>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</si>
  <si>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</si>
  <si>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</si>
  <si>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</si>
  <si>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</si>
  <si>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</si>
  <si>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</si>
  <si>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</si>
  <si>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</si>
  <si>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</si>
  <si>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</si>
  <si>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</si>
  <si>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</si>
  <si>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</si>
  <si>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</si>
  <si>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</si>
  <si>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</si>
  <si>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</si>
  <si>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</si>
  <si>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</si>
  <si>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</si>
  <si>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</si>
  <si>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</si>
  <si>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</si>
  <si>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</si>
  <si>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</si>
  <si>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</si>
  <si>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</si>
  <si>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</si>
  <si>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</si>
  <si>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</si>
  <si>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</si>
  <si>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</si>
  <si>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</si>
  <si>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</si>
  <si>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</si>
  <si>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</si>
  <si>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</si>
  <si>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</si>
  <si>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</si>
  <si>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</si>
  <si>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</si>
  <si>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</si>
  <si>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</si>
  <si>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</si>
  <si>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</si>
  <si>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</si>
  <si>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</si>
  <si>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</si>
  <si>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</si>
  <si>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</si>
  <si>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</si>
  <si>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</si>
  <si>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</si>
  <si>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</si>
  <si>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</si>
  <si>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</si>
  <si>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</si>
  <si>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</si>
  <si>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</si>
  <si>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</si>
  <si>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</si>
  <si>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</si>
  <si>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</si>
  <si>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</si>
  <si>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</si>
  <si>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</si>
  <si>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</si>
  <si>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</si>
  <si>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</si>
  <si>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</si>
  <si>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</si>
  <si>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</si>
  <si>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</si>
  <si>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</si>
  <si>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</si>
  <si>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</si>
  <si>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</si>
  <si>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</si>
  <si>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</si>
  <si>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</si>
  <si>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</si>
  <si>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</si>
  <si>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</si>
  <si>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</si>
  <si>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</si>
  <si>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</si>
  <si>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</si>
  <si>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</si>
  <si>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</si>
  <si>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</si>
  <si>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</si>
  <si>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</si>
  <si>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</si>
  <si>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</si>
  <si>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</si>
  <si>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</si>
  <si>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</si>
  <si>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</si>
  <si>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</si>
  <si>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</si>
  <si>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</si>
  <si>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</si>
  <si>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</si>
  <si>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</si>
  <si>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</si>
  <si>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</si>
  <si>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</si>
  <si>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</si>
  <si>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</si>
  <si>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</si>
  <si>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</si>
  <si>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</si>
  <si>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</si>
  <si>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</si>
  <si>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</si>
  <si>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</si>
  <si>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</si>
  <si>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</si>
  <si>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</si>
  <si>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</si>
  <si>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</si>
  <si>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</si>
  <si>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</si>
  <si>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</si>
  <si>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</si>
  <si>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</si>
  <si>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</si>
  <si>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</si>
  <si>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</si>
  <si>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</si>
  <si>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</si>
  <si>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</si>
  <si>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</si>
  <si>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</si>
  <si>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</si>
  <si>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</si>
  <si>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</si>
  <si>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</si>
  <si>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</si>
  <si>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</si>
  <si>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</si>
  <si>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</si>
  <si>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</si>
  <si>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</si>
  <si>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</si>
  <si>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</si>
  <si>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</si>
  <si>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</si>
  <si>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</si>
  <si>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</si>
  <si>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</si>
  <si>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</si>
  <si>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</si>
  <si>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</si>
  <si>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</si>
  <si>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</si>
  <si>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</si>
  <si>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</si>
  <si>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</si>
  <si>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</si>
  <si>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</si>
  <si>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</si>
  <si>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</si>
  <si>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</si>
  <si>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</si>
  <si>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</si>
  <si>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</si>
  <si>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</si>
  <si>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</si>
  <si>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</si>
  <si>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</si>
  <si>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</si>
  <si>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</si>
  <si>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</si>
  <si>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</si>
  <si>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</si>
  <si>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</si>
  <si>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</si>
  <si>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</si>
  <si>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</si>
  <si>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</si>
  <si>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</si>
  <si>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</si>
  <si>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</si>
  <si>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</si>
  <si>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</si>
  <si>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</si>
  <si>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</si>
  <si>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</si>
  <si>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</si>
  <si>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</si>
  <si>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</si>
  <si>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</si>
  <si>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</si>
  <si>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</si>
  <si>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</si>
  <si>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</si>
  <si>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</si>
  <si>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</si>
  <si>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</si>
  <si>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</si>
  <si>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</si>
  <si>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</si>
  <si>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</si>
  <si>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</si>
  <si>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</si>
  <si>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</si>
  <si>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</si>
  <si>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</si>
  <si>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</si>
  <si>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</si>
  <si>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</si>
  <si>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</si>
  <si>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</si>
  <si>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</si>
  <si>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</si>
  <si>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</si>
  <si>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</si>
  <si>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</si>
  <si>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</si>
  <si>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</si>
  <si>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</si>
  <si>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</si>
  <si>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</si>
  <si>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</si>
  <si>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</si>
  <si>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</si>
  <si>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</si>
  <si>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</si>
  <si>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</si>
  <si>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</si>
  <si>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</si>
  <si>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</si>
  <si>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</si>
  <si>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</si>
  <si>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</si>
  <si>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</si>
  <si>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</si>
  <si>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</si>
  <si>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</si>
  <si>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</si>
  <si>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</si>
  <si>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</si>
  <si>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</si>
  <si>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</si>
  <si>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</si>
  <si>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</si>
  <si>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</si>
  <si>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</si>
  <si>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</si>
  <si>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</si>
  <si>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</si>
  <si>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</si>
  <si>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</si>
  <si>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</si>
  <si>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</si>
  <si>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</si>
  <si>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</si>
  <si>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</si>
  <si>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</si>
  <si>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</si>
  <si>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</si>
  <si>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</si>
  <si>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</si>
  <si>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</si>
  <si>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</si>
  <si>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</si>
  <si>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</si>
  <si>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</si>
  <si>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</si>
  <si>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</si>
  <si>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</si>
  <si>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</si>
  <si>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</si>
  <si>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</si>
  <si>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</si>
  <si>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</si>
  <si>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</si>
  <si>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</si>
  <si>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</si>
  <si>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</si>
  <si>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</si>
  <si>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</si>
  <si>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</si>
  <si>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</si>
  <si>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</si>
  <si>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</si>
  <si>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</si>
  <si>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</si>
  <si>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</si>
  <si>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</si>
  <si>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</si>
  <si>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</si>
  <si>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</si>
  <si>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</si>
  <si>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</si>
  <si>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</si>
  <si>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</si>
  <si>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</si>
  <si>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</si>
  <si>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</si>
  <si>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</si>
  <si>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</si>
  <si>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</si>
  <si>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</si>
  <si>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</si>
  <si>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</si>
  <si>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</si>
  <si>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</si>
  <si>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</si>
  <si>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</si>
  <si>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</si>
  <si>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</si>
  <si>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</si>
  <si>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</si>
  <si>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</si>
  <si>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</si>
  <si>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</si>
  <si>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</si>
  <si>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</si>
  <si>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</si>
  <si>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</si>
  <si>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</si>
  <si>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</si>
  <si>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</si>
  <si>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</si>
  <si>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</si>
  <si>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</si>
  <si>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</si>
  <si>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</si>
  <si>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</si>
  <si>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</si>
  <si>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</si>
  <si>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</si>
  <si>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</si>
  <si>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</si>
  <si>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</si>
  <si>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</si>
  <si>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</si>
  <si>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</si>
  <si>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</si>
  <si>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</si>
  <si>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</si>
  <si>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</si>
  <si>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</si>
  <si>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</si>
  <si>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</si>
  <si>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</si>
  <si>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</si>
  <si>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</si>
  <si>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</si>
  <si>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</si>
  <si>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</si>
  <si>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</si>
  <si>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</si>
  <si>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</si>
  <si>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</si>
  <si>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</si>
  <si>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</si>
  <si>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</si>
  <si>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</si>
  <si>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</si>
  <si>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</si>
  <si>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</si>
  <si>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</si>
  <si>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</si>
  <si>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</si>
  <si>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</si>
  <si>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</si>
  <si>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</si>
  <si>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</si>
  <si>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</si>
  <si>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</si>
  <si>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</si>
  <si>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</si>
  <si>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</si>
  <si>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</si>
  <si>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</si>
  <si>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</si>
  <si>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</si>
  <si>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</si>
  <si>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</si>
  <si>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</si>
  <si>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</si>
  <si>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</si>
  <si>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</si>
  <si>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</si>
  <si>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</si>
  <si>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</si>
  <si>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</si>
  <si>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</si>
  <si>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</si>
  <si>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</si>
  <si>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</si>
  <si>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</si>
  <si>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</si>
  <si>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</si>
  <si>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</si>
  <si>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</si>
  <si>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</si>
  <si>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</si>
  <si>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</si>
  <si>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</si>
  <si>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</si>
  <si>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</si>
  <si>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</si>
  <si>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</si>
  <si>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</si>
  <si>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</si>
  <si>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</si>
  <si>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</si>
  <si>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</si>
  <si>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</si>
  <si>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</si>
  <si>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</si>
  <si>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</si>
  <si>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</si>
  <si>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</si>
  <si>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</si>
  <si>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</si>
  <si>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</si>
  <si>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</si>
  <si>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</si>
  <si>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</si>
  <si>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</si>
  <si>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</si>
  <si>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</si>
  <si>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</si>
  <si>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</si>
  <si>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</si>
  <si>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</si>
  <si>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</si>
  <si>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</si>
  <si>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</si>
  <si>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</si>
  <si>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</si>
  <si>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</si>
  <si>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</si>
  <si>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</si>
  <si>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</si>
  <si>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</si>
  <si>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</si>
  <si>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</si>
  <si>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</si>
  <si>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</si>
  <si>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</si>
  <si>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</si>
  <si>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</si>
  <si>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</si>
  <si>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</si>
  <si>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</si>
  <si>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</si>
  <si>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</si>
  <si>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</si>
  <si>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</si>
  <si>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</si>
  <si>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</si>
  <si>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</si>
  <si>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</si>
  <si>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</si>
  <si>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</si>
  <si>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</si>
  <si>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</si>
  <si>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</si>
  <si>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</si>
  <si>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</si>
  <si>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</si>
  <si>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</si>
  <si>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</si>
  <si>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</si>
  <si>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</si>
  <si>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</si>
  <si>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</si>
  <si>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</si>
  <si>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</si>
  <si>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</si>
  <si>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</si>
  <si>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</si>
  <si>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</si>
  <si>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</si>
  <si>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</si>
  <si>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</si>
  <si>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</si>
  <si>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</si>
  <si>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</si>
  <si>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</si>
  <si>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</si>
  <si>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</si>
  <si>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</si>
  <si>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</si>
  <si>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</si>
  <si>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</si>
  <si>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</si>
  <si>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</si>
  <si>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</si>
  <si>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</si>
  <si>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</si>
  <si>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</si>
  <si>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</si>
  <si>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</si>
  <si>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</si>
  <si>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</si>
  <si>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</si>
  <si>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</si>
  <si>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</si>
  <si>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</si>
  <si>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</si>
  <si>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</si>
  <si>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</si>
  <si>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</si>
  <si>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</si>
  <si>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</si>
  <si>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</si>
  <si>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</si>
  <si>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</si>
  <si>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</si>
  <si>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</si>
  <si>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</si>
  <si>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</si>
  <si>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</si>
  <si>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</si>
  <si>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</si>
  <si>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</si>
  <si>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</si>
  <si>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</si>
  <si>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</si>
  <si>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</si>
  <si>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</si>
  <si>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</si>
  <si>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</si>
  <si>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</si>
  <si>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</si>
  <si>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</si>
  <si>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</si>
  <si>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</si>
  <si>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</si>
  <si>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</si>
  <si>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</si>
  <si>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</si>
  <si>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</si>
  <si>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</si>
  <si>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</si>
  <si>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</si>
  <si>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</si>
  <si>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</si>
  <si>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</si>
  <si>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</si>
  <si>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</si>
  <si>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</si>
  <si>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</si>
  <si>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</si>
  <si>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</si>
  <si>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</si>
  <si>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</si>
  <si>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</si>
  <si>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</si>
  <si>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</si>
  <si>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</si>
  <si>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</si>
  <si>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</si>
  <si>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</si>
  <si>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</si>
  <si>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</si>
  <si>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</si>
  <si>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</si>
  <si>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</si>
  <si>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</si>
  <si>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</si>
  <si>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</si>
  <si>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</si>
  <si>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</si>
  <si>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</si>
  <si>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</si>
  <si>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</si>
  <si>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</si>
  <si>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</si>
  <si>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</si>
  <si>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</si>
  <si>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</si>
  <si>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</si>
  <si>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</si>
  <si>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</si>
  <si>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</si>
  <si>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</si>
  <si>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</si>
  <si>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</si>
  <si>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</si>
  <si>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</si>
  <si>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</si>
  <si>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</si>
  <si>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</si>
  <si>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</si>
  <si>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</si>
  <si>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</si>
  <si>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</si>
  <si>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</si>
  <si>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</si>
  <si>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</si>
  <si>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</si>
  <si>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</si>
  <si>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</si>
  <si>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</si>
  <si>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</si>
  <si>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</si>
  <si>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</si>
  <si>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</si>
  <si>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</si>
  <si>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</si>
  <si>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</si>
  <si>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</si>
  <si>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</si>
  <si>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</si>
  <si>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</si>
  <si>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</si>
  <si>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</si>
  <si>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</si>
  <si>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</si>
  <si>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</si>
  <si>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</si>
  <si>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</si>
  <si>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</si>
  <si>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</si>
  <si>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</si>
  <si>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</si>
  <si>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</si>
  <si>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</si>
  <si>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</si>
  <si>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</si>
  <si>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</si>
  <si>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</si>
  <si>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</si>
  <si>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</si>
  <si>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</si>
  <si>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</si>
  <si>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</si>
  <si>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</si>
  <si>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</si>
  <si>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</si>
  <si>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</si>
  <si>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</si>
  <si>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</si>
  <si>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</si>
  <si>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</si>
  <si>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</si>
  <si>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</si>
  <si>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</si>
  <si>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</si>
  <si>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</si>
  <si>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</si>
  <si>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</si>
  <si>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</si>
  <si>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</si>
  <si>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</si>
  <si>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</si>
  <si>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</si>
  <si>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</si>
  <si>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</si>
  <si>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</si>
  <si>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</si>
  <si>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</si>
  <si>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</si>
  <si>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</si>
  <si>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</si>
  <si>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</si>
  <si>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</si>
  <si>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</si>
  <si>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</si>
  <si>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</si>
  <si>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</si>
  <si>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</si>
  <si>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</si>
  <si>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</si>
  <si>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</si>
  <si>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</si>
  <si>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</si>
  <si>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</si>
  <si>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</si>
  <si>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</si>
  <si>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</si>
  <si>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</si>
  <si>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</si>
  <si>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</si>
  <si>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</si>
  <si>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</si>
  <si>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</si>
  <si>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</si>
  <si>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</si>
  <si>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</si>
  <si>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</si>
  <si>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</si>
  <si>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</si>
  <si>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</si>
  <si>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</si>
  <si>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</si>
  <si>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</si>
  <si>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</si>
  <si>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</si>
  <si>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</si>
  <si>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71004</t>
  </si>
  <si>
    <t>BERINGEN</t>
  </si>
  <si>
    <t>Cultuurgrond (ha)</t>
  </si>
  <si>
    <t>Paarden&amp;pony's 200 - 600 kg</t>
  </si>
  <si>
    <t>Paarden&amp;pony's &lt; 200 kg</t>
  </si>
  <si>
    <t>vloeibaar gas (MWh)</t>
  </si>
  <si>
    <t>interne verbrandingsmotor</t>
  </si>
  <si>
    <t>WKK interne verbrandinsgmotor (gas)</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</si>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</sst>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20882E8-8AF4-4FCF-BDD7-3682D5E7B37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395440.25604752381</c:v>
                </c:pt>
                <c:pt idx="1">
                  <c:v>76843.732979255001</c:v>
                </c:pt>
                <c:pt idx="2">
                  <c:v>1963.0609999999999</c:v>
                </c:pt>
                <c:pt idx="3">
                  <c:v>3724.4653012957642</c:v>
                </c:pt>
                <c:pt idx="4">
                  <c:v>97136.377578685147</c:v>
                </c:pt>
                <c:pt idx="5">
                  <c:v>254576.6612319311</c:v>
                </c:pt>
                <c:pt idx="6">
                  <c:v>3752.9255698076295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395440.25604752381</c:v>
                </c:pt>
                <c:pt idx="1">
                  <c:v>76843.732979255001</c:v>
                </c:pt>
                <c:pt idx="2">
                  <c:v>1963.0609999999999</c:v>
                </c:pt>
                <c:pt idx="3">
                  <c:v>3724.4653012957642</c:v>
                </c:pt>
                <c:pt idx="4">
                  <c:v>97136.377578685147</c:v>
                </c:pt>
                <c:pt idx="5">
                  <c:v>254576.6612319311</c:v>
                </c:pt>
                <c:pt idx="6">
                  <c:v>3752.9255698076295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82508.152335342078</c:v>
                </c:pt>
                <c:pt idx="2">
                  <c:v>13905.723908656477</c:v>
                </c:pt>
                <c:pt idx="3">
                  <c:v>336.11895903770159</c:v>
                </c:pt>
                <c:pt idx="4">
                  <c:v>901.93092058309855</c:v>
                </c:pt>
                <c:pt idx="5">
                  <c:v>18349.638032083873</c:v>
                </c:pt>
                <c:pt idx="6">
                  <c:v>64332.563270152452</c:v>
                </c:pt>
                <c:pt idx="7">
                  <c:v>957.47915406943196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82508.152335342078</c:v>
                </c:pt>
                <c:pt idx="2">
                  <c:v>13905.723908656477</c:v>
                </c:pt>
                <c:pt idx="3">
                  <c:v>336.11895903770159</c:v>
                </c:pt>
                <c:pt idx="4">
                  <c:v>901.93092058309855</c:v>
                </c:pt>
                <c:pt idx="5">
                  <c:v>18349.638032083873</c:v>
                </c:pt>
                <c:pt idx="6">
                  <c:v>64332.563270152452</c:v>
                </c:pt>
                <c:pt idx="7">
                  <c:v>957.47915406943196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71004</v>
      </c>
      <c r="B6" s="385"/>
      <c r="C6" s="386"/>
    </row>
    <row r="7" spans="1:7" s="383" customFormat="1" ht="15.75" customHeight="1">
      <c r="A7" s="387" t="str">
        <f>txtMunicipality</f>
        <v>BERINGEN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0.17122186169339698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0.17122186169339698</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16874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2027</v>
      </c>
      <c r="C14" s="327"/>
      <c r="D14" s="327"/>
      <c r="E14" s="327"/>
      <c r="F14" s="327"/>
    </row>
    <row r="15" spans="1:6">
      <c r="A15" s="1258" t="s">
        <v>177</v>
      </c>
      <c r="B15" s="1259">
        <v>2</v>
      </c>
      <c r="C15" s="327"/>
      <c r="D15" s="327"/>
      <c r="E15" s="327"/>
      <c r="F15" s="327"/>
    </row>
    <row r="16" spans="1:6">
      <c r="A16" s="1258" t="s">
        <v>6</v>
      </c>
      <c r="B16" s="1259">
        <v>95</v>
      </c>
      <c r="C16" s="327"/>
      <c r="D16" s="327"/>
      <c r="E16" s="327"/>
      <c r="F16" s="327"/>
    </row>
    <row r="17" spans="1:6">
      <c r="A17" s="1258" t="s">
        <v>7</v>
      </c>
      <c r="B17" s="1259">
        <v>140</v>
      </c>
      <c r="C17" s="327"/>
      <c r="D17" s="327"/>
      <c r="E17" s="327"/>
      <c r="F17" s="327"/>
    </row>
    <row r="18" spans="1:6">
      <c r="A18" s="1258" t="s">
        <v>8</v>
      </c>
      <c r="B18" s="1259">
        <v>188</v>
      </c>
      <c r="C18" s="327"/>
      <c r="D18" s="327"/>
      <c r="E18" s="327"/>
      <c r="F18" s="327"/>
    </row>
    <row r="19" spans="1:6">
      <c r="A19" s="1258" t="s">
        <v>9</v>
      </c>
      <c r="B19" s="1259">
        <v>211</v>
      </c>
      <c r="C19" s="327"/>
      <c r="D19" s="327"/>
      <c r="E19" s="327"/>
      <c r="F19" s="327"/>
    </row>
    <row r="20" spans="1:6">
      <c r="A20" s="1258" t="s">
        <v>10</v>
      </c>
      <c r="B20" s="1259">
        <v>188</v>
      </c>
      <c r="C20" s="327"/>
      <c r="D20" s="327"/>
      <c r="E20" s="327"/>
      <c r="F20" s="327"/>
    </row>
    <row r="21" spans="1:6">
      <c r="A21" s="1258" t="s">
        <v>11</v>
      </c>
      <c r="B21" s="1259">
        <v>355</v>
      </c>
      <c r="C21" s="327"/>
      <c r="D21" s="327"/>
      <c r="E21" s="327"/>
      <c r="F21" s="327"/>
    </row>
    <row r="22" spans="1:6">
      <c r="A22" s="1258" t="s">
        <v>12</v>
      </c>
      <c r="B22" s="1259">
        <v>2496</v>
      </c>
      <c r="C22" s="327"/>
      <c r="D22" s="327"/>
      <c r="E22" s="327"/>
      <c r="F22" s="327"/>
    </row>
    <row r="23" spans="1:6">
      <c r="A23" s="1258" t="s">
        <v>13</v>
      </c>
      <c r="B23" s="1259">
        <v>0</v>
      </c>
      <c r="C23" s="327"/>
      <c r="D23" s="327"/>
      <c r="E23" s="327"/>
      <c r="F23" s="327"/>
    </row>
    <row r="24" spans="1:6">
      <c r="A24" s="1258" t="s">
        <v>14</v>
      </c>
      <c r="B24" s="1259">
        <v>3</v>
      </c>
      <c r="C24" s="327"/>
      <c r="D24" s="327"/>
      <c r="E24" s="327"/>
      <c r="F24" s="327"/>
    </row>
    <row r="25" spans="1:6">
      <c r="A25" s="1258" t="s">
        <v>15</v>
      </c>
      <c r="B25" s="1259">
        <v>486</v>
      </c>
      <c r="C25" s="327"/>
      <c r="D25" s="327"/>
      <c r="E25" s="327"/>
      <c r="F25" s="327"/>
    </row>
    <row r="26" spans="1:6">
      <c r="A26" s="1258" t="s">
        <v>16</v>
      </c>
      <c r="B26" s="1259">
        <v>614</v>
      </c>
      <c r="C26" s="327"/>
      <c r="D26" s="327"/>
      <c r="E26" s="327"/>
      <c r="F26" s="327"/>
    </row>
    <row r="27" spans="1:6">
      <c r="A27" s="1258" t="s">
        <v>17</v>
      </c>
      <c r="B27" s="1259">
        <v>24</v>
      </c>
      <c r="C27" s="327"/>
      <c r="D27" s="327"/>
      <c r="E27" s="327"/>
      <c r="F27" s="327"/>
    </row>
    <row r="28" spans="1:6">
      <c r="A28" s="1258" t="s">
        <v>18</v>
      </c>
      <c r="B28" s="1260">
        <v>11203</v>
      </c>
      <c r="C28" s="327"/>
      <c r="D28" s="327"/>
      <c r="E28" s="327"/>
      <c r="F28" s="327"/>
    </row>
    <row r="29" spans="1:6">
      <c r="A29" s="1258" t="s">
        <v>905</v>
      </c>
      <c r="B29" s="1260">
        <v>145</v>
      </c>
      <c r="C29" s="327"/>
      <c r="D29" s="327"/>
      <c r="E29" s="327"/>
      <c r="F29" s="327"/>
    </row>
    <row r="30" spans="1:6">
      <c r="A30" s="1253" t="s">
        <v>906</v>
      </c>
      <c r="B30" s="1261">
        <v>50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15</v>
      </c>
      <c r="F36" s="1259">
        <v>91834</v>
      </c>
    </row>
    <row r="37" spans="1:6">
      <c r="A37" s="1258" t="s">
        <v>24</v>
      </c>
      <c r="B37" s="1258" t="s">
        <v>27</v>
      </c>
      <c r="C37" s="1259">
        <v>0</v>
      </c>
      <c r="D37" s="1259">
        <v>0</v>
      </c>
      <c r="E37" s="1259">
        <v>0</v>
      </c>
      <c r="F37" s="1259">
        <v>0</v>
      </c>
    </row>
    <row r="38" spans="1:6">
      <c r="A38" s="1258" t="s">
        <v>24</v>
      </c>
      <c r="B38" s="1258" t="s">
        <v>28</v>
      </c>
      <c r="C38" s="1259">
        <v>3</v>
      </c>
      <c r="D38" s="1259">
        <v>164819</v>
      </c>
      <c r="E38" s="1259">
        <v>3</v>
      </c>
      <c r="F38" s="1259">
        <v>24880</v>
      </c>
    </row>
    <row r="39" spans="1:6">
      <c r="A39" s="1258" t="s">
        <v>29</v>
      </c>
      <c r="B39" s="1258" t="s">
        <v>30</v>
      </c>
      <c r="C39" s="1259">
        <v>8207</v>
      </c>
      <c r="D39" s="1259">
        <v>137749983</v>
      </c>
      <c r="E39" s="1259">
        <v>17318</v>
      </c>
      <c r="F39" s="1259">
        <v>64272432</v>
      </c>
    </row>
    <row r="40" spans="1:6">
      <c r="A40" s="1258" t="s">
        <v>29</v>
      </c>
      <c r="B40" s="1258" t="s">
        <v>28</v>
      </c>
      <c r="C40" s="1259">
        <v>0</v>
      </c>
      <c r="D40" s="1259">
        <v>0</v>
      </c>
      <c r="E40" s="1259">
        <v>0</v>
      </c>
      <c r="F40" s="1259">
        <v>0</v>
      </c>
    </row>
    <row r="41" spans="1:6">
      <c r="A41" s="1258" t="s">
        <v>31</v>
      </c>
      <c r="B41" s="1258" t="s">
        <v>32</v>
      </c>
      <c r="C41" s="1259">
        <v>88</v>
      </c>
      <c r="D41" s="1259">
        <v>4075402</v>
      </c>
      <c r="E41" s="1259">
        <v>233</v>
      </c>
      <c r="F41" s="1259">
        <v>3783520</v>
      </c>
    </row>
    <row r="42" spans="1:6">
      <c r="A42" s="1258" t="s">
        <v>31</v>
      </c>
      <c r="B42" s="1258" t="s">
        <v>33</v>
      </c>
      <c r="C42" s="1259">
        <v>3</v>
      </c>
      <c r="D42" s="1259">
        <v>1216252</v>
      </c>
      <c r="E42" s="1259">
        <v>4</v>
      </c>
      <c r="F42" s="1259">
        <v>5058425</v>
      </c>
    </row>
    <row r="43" spans="1:6">
      <c r="A43" s="1258" t="s">
        <v>31</v>
      </c>
      <c r="B43" s="1258" t="s">
        <v>34</v>
      </c>
      <c r="C43" s="1259">
        <v>0</v>
      </c>
      <c r="D43" s="1259">
        <v>0</v>
      </c>
      <c r="E43" s="1259">
        <v>0</v>
      </c>
      <c r="F43" s="1259">
        <v>0</v>
      </c>
    </row>
    <row r="44" spans="1:6">
      <c r="A44" s="1258" t="s">
        <v>31</v>
      </c>
      <c r="B44" s="1258" t="s">
        <v>35</v>
      </c>
      <c r="C44" s="1259">
        <v>22</v>
      </c>
      <c r="D44" s="1259">
        <v>10836197</v>
      </c>
      <c r="E44" s="1259">
        <v>45</v>
      </c>
      <c r="F44" s="1259">
        <v>4083767</v>
      </c>
    </row>
    <row r="45" spans="1:6">
      <c r="A45" s="1258" t="s">
        <v>31</v>
      </c>
      <c r="B45" s="1258" t="s">
        <v>36</v>
      </c>
      <c r="C45" s="1259">
        <v>3</v>
      </c>
      <c r="D45" s="1259">
        <v>311434</v>
      </c>
      <c r="E45" s="1259">
        <v>8</v>
      </c>
      <c r="F45" s="1259">
        <v>1196317</v>
      </c>
    </row>
    <row r="46" spans="1:6">
      <c r="A46" s="1258" t="s">
        <v>31</v>
      </c>
      <c r="B46" s="1258" t="s">
        <v>37</v>
      </c>
      <c r="C46" s="1259">
        <v>0</v>
      </c>
      <c r="D46" s="1259">
        <v>0</v>
      </c>
      <c r="E46" s="1259">
        <v>0</v>
      </c>
      <c r="F46" s="1259">
        <v>0</v>
      </c>
    </row>
    <row r="47" spans="1:6">
      <c r="A47" s="1258" t="s">
        <v>31</v>
      </c>
      <c r="B47" s="1258" t="s">
        <v>38</v>
      </c>
      <c r="C47" s="1259">
        <v>7</v>
      </c>
      <c r="D47" s="1259">
        <v>14313146</v>
      </c>
      <c r="E47" s="1259">
        <v>13</v>
      </c>
      <c r="F47" s="1259">
        <v>17051945</v>
      </c>
    </row>
    <row r="48" spans="1:6">
      <c r="A48" s="1258" t="s">
        <v>31</v>
      </c>
      <c r="B48" s="1258" t="s">
        <v>28</v>
      </c>
      <c r="C48" s="1259">
        <v>3</v>
      </c>
      <c r="D48" s="1259">
        <v>2195481</v>
      </c>
      <c r="E48" s="1259">
        <v>1</v>
      </c>
      <c r="F48" s="1259">
        <v>179177</v>
      </c>
    </row>
    <row r="49" spans="1:6">
      <c r="A49" s="1258" t="s">
        <v>31</v>
      </c>
      <c r="B49" s="1258" t="s">
        <v>39</v>
      </c>
      <c r="C49" s="1259">
        <v>0</v>
      </c>
      <c r="D49" s="1259">
        <v>0</v>
      </c>
      <c r="E49" s="1259">
        <v>5</v>
      </c>
      <c r="F49" s="1259">
        <v>266320</v>
      </c>
    </row>
    <row r="50" spans="1:6">
      <c r="A50" s="1258" t="s">
        <v>31</v>
      </c>
      <c r="B50" s="1258" t="s">
        <v>40</v>
      </c>
      <c r="C50" s="1259">
        <v>7</v>
      </c>
      <c r="D50" s="1259">
        <v>5822983</v>
      </c>
      <c r="E50" s="1259">
        <v>24</v>
      </c>
      <c r="F50" s="1259">
        <v>6986946</v>
      </c>
    </row>
    <row r="51" spans="1:6">
      <c r="A51" s="1258" t="s">
        <v>41</v>
      </c>
      <c r="B51" s="1258" t="s">
        <v>42</v>
      </c>
      <c r="C51" s="1259">
        <v>11</v>
      </c>
      <c r="D51" s="1259">
        <v>558610</v>
      </c>
      <c r="E51" s="1259">
        <v>46</v>
      </c>
      <c r="F51" s="1259">
        <v>689712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140</v>
      </c>
      <c r="F54" s="1259">
        <v>1963061</v>
      </c>
    </row>
    <row r="55" spans="1:6">
      <c r="A55" s="1258" t="s">
        <v>45</v>
      </c>
      <c r="B55" s="1258" t="s">
        <v>28</v>
      </c>
      <c r="C55" s="1259">
        <v>0</v>
      </c>
      <c r="D55" s="1259">
        <v>0</v>
      </c>
      <c r="E55" s="1259">
        <v>0</v>
      </c>
      <c r="F55" s="1259">
        <v>0</v>
      </c>
    </row>
    <row r="56" spans="1:6">
      <c r="A56" s="1258" t="s">
        <v>47</v>
      </c>
      <c r="B56" s="1258" t="s">
        <v>28</v>
      </c>
      <c r="C56" s="1259">
        <v>181</v>
      </c>
      <c r="D56" s="1259">
        <v>13237265</v>
      </c>
      <c r="E56" s="1259">
        <v>242</v>
      </c>
      <c r="F56" s="1259">
        <v>1877788</v>
      </c>
    </row>
    <row r="57" spans="1:6">
      <c r="A57" s="1258" t="s">
        <v>48</v>
      </c>
      <c r="B57" s="1258" t="s">
        <v>49</v>
      </c>
      <c r="C57" s="1259">
        <v>80</v>
      </c>
      <c r="D57" s="1259">
        <v>3695417</v>
      </c>
      <c r="E57" s="1259">
        <v>227</v>
      </c>
      <c r="F57" s="1259">
        <v>5251328</v>
      </c>
    </row>
    <row r="58" spans="1:6">
      <c r="A58" s="1258" t="s">
        <v>48</v>
      </c>
      <c r="B58" s="1258" t="s">
        <v>50</v>
      </c>
      <c r="C58" s="1259">
        <v>42</v>
      </c>
      <c r="D58" s="1259">
        <v>2020403</v>
      </c>
      <c r="E58" s="1259">
        <v>114</v>
      </c>
      <c r="F58" s="1259">
        <v>3054030</v>
      </c>
    </row>
    <row r="59" spans="1:6">
      <c r="A59" s="1258" t="s">
        <v>48</v>
      </c>
      <c r="B59" s="1258" t="s">
        <v>51</v>
      </c>
      <c r="C59" s="1259">
        <v>165</v>
      </c>
      <c r="D59" s="1259">
        <v>8633146</v>
      </c>
      <c r="E59" s="1259">
        <v>389</v>
      </c>
      <c r="F59" s="1259">
        <v>16082489</v>
      </c>
    </row>
    <row r="60" spans="1:6">
      <c r="A60" s="1258" t="s">
        <v>48</v>
      </c>
      <c r="B60" s="1258" t="s">
        <v>52</v>
      </c>
      <c r="C60" s="1259">
        <v>65</v>
      </c>
      <c r="D60" s="1259">
        <v>2880761</v>
      </c>
      <c r="E60" s="1259">
        <v>124</v>
      </c>
      <c r="F60" s="1259">
        <v>4014161</v>
      </c>
    </row>
    <row r="61" spans="1:6">
      <c r="A61" s="1258" t="s">
        <v>48</v>
      </c>
      <c r="B61" s="1258" t="s">
        <v>53</v>
      </c>
      <c r="C61" s="1259">
        <v>147</v>
      </c>
      <c r="D61" s="1259">
        <v>8198884</v>
      </c>
      <c r="E61" s="1259">
        <v>586</v>
      </c>
      <c r="F61" s="1259">
        <v>13050896</v>
      </c>
    </row>
    <row r="62" spans="1:6">
      <c r="A62" s="1258" t="s">
        <v>48</v>
      </c>
      <c r="B62" s="1258" t="s">
        <v>54</v>
      </c>
      <c r="C62" s="1259">
        <v>16</v>
      </c>
      <c r="D62" s="1259">
        <v>2261820</v>
      </c>
      <c r="E62" s="1259">
        <v>45</v>
      </c>
      <c r="F62" s="1259">
        <v>1255068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301124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295849</v>
      </c>
      <c r="E68" s="1261">
        <v>14</v>
      </c>
      <c r="F68" s="1261">
        <v>227906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89965172</v>
      </c>
      <c r="E73" s="446"/>
      <c r="F73" s="327"/>
    </row>
    <row r="74" spans="1:6">
      <c r="A74" s="1258" t="s">
        <v>63</v>
      </c>
      <c r="B74" s="1258" t="s">
        <v>681</v>
      </c>
      <c r="C74" s="1271" t="s">
        <v>682</v>
      </c>
      <c r="D74" s="1259">
        <v>4158740.8182912674</v>
      </c>
      <c r="E74" s="446"/>
      <c r="F74" s="327"/>
    </row>
    <row r="75" spans="1:6">
      <c r="A75" s="1258" t="s">
        <v>64</v>
      </c>
      <c r="B75" s="1258" t="s">
        <v>679</v>
      </c>
      <c r="C75" s="1271" t="s">
        <v>683</v>
      </c>
      <c r="D75" s="1259">
        <v>82343962</v>
      </c>
      <c r="E75" s="446"/>
      <c r="F75" s="327"/>
    </row>
    <row r="76" spans="1:6">
      <c r="A76" s="1258" t="s">
        <v>64</v>
      </c>
      <c r="B76" s="1258" t="s">
        <v>681</v>
      </c>
      <c r="C76" s="1271" t="s">
        <v>684</v>
      </c>
      <c r="D76" s="1259">
        <v>2044853.8182912674</v>
      </c>
      <c r="E76" s="446"/>
      <c r="F76" s="327"/>
    </row>
    <row r="77" spans="1:6">
      <c r="A77" s="1258" t="s">
        <v>65</v>
      </c>
      <c r="B77" s="1258" t="s">
        <v>679</v>
      </c>
      <c r="C77" s="1271" t="s">
        <v>685</v>
      </c>
      <c r="D77" s="1259">
        <v>87954181</v>
      </c>
      <c r="E77" s="446"/>
      <c r="F77" s="327"/>
    </row>
    <row r="78" spans="1:6">
      <c r="A78" s="1253" t="s">
        <v>65</v>
      </c>
      <c r="B78" s="1253" t="s">
        <v>681</v>
      </c>
      <c r="C78" s="1253" t="s">
        <v>686</v>
      </c>
      <c r="D78" s="1261">
        <v>17234477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993288.36341746501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19781.66144</v>
      </c>
      <c r="C90" s="327"/>
      <c r="D90" s="327"/>
      <c r="E90" s="327"/>
      <c r="F90" s="327"/>
    </row>
    <row r="91" spans="1:6">
      <c r="A91" s="1258" t="s">
        <v>67</v>
      </c>
      <c r="B91" s="1259">
        <v>10579.591163638865</v>
      </c>
      <c r="C91" s="327"/>
      <c r="D91" s="327"/>
      <c r="E91" s="327"/>
      <c r="F91" s="327"/>
    </row>
    <row r="92" spans="1:6">
      <c r="A92" s="1253" t="s">
        <v>68</v>
      </c>
      <c r="B92" s="1254">
        <v>5856.4037905727164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2269</v>
      </c>
      <c r="C97" s="327"/>
      <c r="D97" s="327"/>
      <c r="E97" s="327"/>
      <c r="F97" s="327"/>
    </row>
    <row r="98" spans="1:6">
      <c r="A98" s="1258" t="s">
        <v>71</v>
      </c>
      <c r="B98" s="1259">
        <v>9</v>
      </c>
      <c r="C98" s="327"/>
      <c r="D98" s="327"/>
      <c r="E98" s="327"/>
      <c r="F98" s="327"/>
    </row>
    <row r="99" spans="1:6">
      <c r="A99" s="1258" t="s">
        <v>72</v>
      </c>
      <c r="B99" s="1259">
        <v>57</v>
      </c>
      <c r="C99" s="327"/>
      <c r="D99" s="327"/>
      <c r="E99" s="327"/>
      <c r="F99" s="327"/>
    </row>
    <row r="100" spans="1:6">
      <c r="A100" s="1258" t="s">
        <v>73</v>
      </c>
      <c r="B100" s="1259">
        <v>465</v>
      </c>
      <c r="C100" s="327"/>
      <c r="D100" s="327"/>
      <c r="E100" s="327"/>
      <c r="F100" s="327"/>
    </row>
    <row r="101" spans="1:6">
      <c r="A101" s="1258" t="s">
        <v>74</v>
      </c>
      <c r="B101" s="1259">
        <v>121</v>
      </c>
      <c r="C101" s="327"/>
      <c r="D101" s="327"/>
      <c r="E101" s="327"/>
      <c r="F101" s="327"/>
    </row>
    <row r="102" spans="1:6">
      <c r="A102" s="1258" t="s">
        <v>75</v>
      </c>
      <c r="B102" s="1259">
        <v>138</v>
      </c>
      <c r="C102" s="327"/>
      <c r="D102" s="327"/>
      <c r="E102" s="327"/>
      <c r="F102" s="327"/>
    </row>
    <row r="103" spans="1:6">
      <c r="A103" s="1258" t="s">
        <v>76</v>
      </c>
      <c r="B103" s="1259">
        <v>299</v>
      </c>
      <c r="C103" s="327"/>
      <c r="D103" s="327"/>
      <c r="E103" s="327"/>
      <c r="F103" s="327"/>
    </row>
    <row r="104" spans="1:6">
      <c r="A104" s="1258" t="s">
        <v>77</v>
      </c>
      <c r="B104" s="1259">
        <v>10765</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30</v>
      </c>
      <c r="C123" s="1259">
        <v>53</v>
      </c>
      <c r="D123" s="327"/>
      <c r="E123" s="327"/>
      <c r="F123" s="327"/>
    </row>
    <row r="124" spans="1:6">
      <c r="A124" s="1258" t="s">
        <v>88</v>
      </c>
      <c r="B124" s="1259">
        <v>2</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440</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31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160780.47949840792</v>
      </c>
      <c r="C3" s="43" t="s">
        <v>163</v>
      </c>
      <c r="D3" s="43"/>
      <c r="E3" s="156"/>
      <c r="F3" s="43"/>
      <c r="G3" s="43"/>
      <c r="H3" s="43"/>
      <c r="I3" s="43"/>
      <c r="J3" s="43"/>
      <c r="K3" s="96"/>
    </row>
    <row r="4" spans="1:11">
      <c r="A4" s="353" t="s">
        <v>164</v>
      </c>
      <c r="B4" s="49">
        <f>IF(ISERROR('SEAP template'!B78+'SEAP template'!C78),0,'SEAP template'!B78+'SEAP template'!C78)</f>
        <v>36262.656394211575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10.694117647058825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0.17122186169339698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15.277310924369752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64.285714285714292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1963.0609999999999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1963.0609999999999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0.17122186169339698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336.11895903770159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64272.432000000001</v>
      </c>
      <c r="C5" s="17">
        <f>IF(ISERROR('Eigen informatie GS &amp; warmtenet'!B57),0,'Eigen informatie GS &amp; warmtenet'!B57)</f>
        <v>0</v>
      </c>
      <c r="D5" s="30">
        <f>(SUM(HH_hh_gas_kWh,HH_rest_gas_kWh)/1000)*0.902</f>
        <v>124250.484666</v>
      </c>
      <c r="E5" s="17">
        <f>B32*B41</f>
        <v>5176.3595888900045</v>
      </c>
      <c r="F5" s="17">
        <f>B36*B45</f>
        <v>158631.98675965474</v>
      </c>
      <c r="G5" s="18"/>
      <c r="H5" s="17"/>
      <c r="I5" s="17"/>
      <c r="J5" s="17">
        <f>B35*B44+C35*C44</f>
        <v>3004.1739652788515</v>
      </c>
      <c r="K5" s="17"/>
      <c r="L5" s="17"/>
      <c r="M5" s="17"/>
      <c r="N5" s="17">
        <f>B34*B43+C34*C43</f>
        <v>27550.177904061395</v>
      </c>
      <c r="O5" s="17">
        <f>B52*B53*B54</f>
        <v>773.85</v>
      </c>
      <c r="P5" s="17">
        <f>B60*B61*B62/1000-B60*B61*B62/1000/B63</f>
        <v>1201.2</v>
      </c>
    </row>
    <row r="6" spans="1:16">
      <c r="A6" s="16" t="s">
        <v>592</v>
      </c>
      <c r="B6" s="733">
        <f>kWh_PV_kleiner_dan_10kW</f>
        <v>10579.591163638865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74852.023163638863</v>
      </c>
      <c r="C8" s="21">
        <f>C5</f>
        <v>0</v>
      </c>
      <c r="D8" s="21">
        <f>D5</f>
        <v>124250.484666</v>
      </c>
      <c r="E8" s="21">
        <f>E5</f>
        <v>5176.3595888900045</v>
      </c>
      <c r="F8" s="21">
        <f>F5</f>
        <v>158631.98675965474</v>
      </c>
      <c r="G8" s="21"/>
      <c r="H8" s="21"/>
      <c r="I8" s="21"/>
      <c r="J8" s="21">
        <f>J5</f>
        <v>3004.1739652788515</v>
      </c>
      <c r="K8" s="21"/>
      <c r="L8" s="21">
        <f>L5</f>
        <v>0</v>
      </c>
      <c r="M8" s="21">
        <f>M5</f>
        <v>0</v>
      </c>
      <c r="N8" s="21">
        <f>N5</f>
        <v>27550.177904061395</v>
      </c>
      <c r="O8" s="21">
        <f>O5</f>
        <v>773.85</v>
      </c>
      <c r="P8" s="21">
        <f>P5</f>
        <v>1201.2</v>
      </c>
    </row>
    <row r="9" spans="1:16">
      <c r="B9" s="19"/>
      <c r="C9" s="19"/>
      <c r="D9" s="257"/>
      <c r="E9" s="19"/>
      <c r="F9" s="19"/>
      <c r="G9" s="19"/>
      <c r="H9" s="19"/>
      <c r="I9" s="19"/>
      <c r="J9" s="19"/>
      <c r="K9" s="19"/>
      <c r="L9" s="19"/>
      <c r="M9" s="19"/>
      <c r="N9" s="19"/>
      <c r="O9" s="19"/>
      <c r="P9" s="19"/>
    </row>
    <row r="10" spans="1:16">
      <c r="A10" s="24" t="s">
        <v>207</v>
      </c>
      <c r="B10" s="25">
        <f ca="1">'EF ele_warmte'!B12</f>
        <v>0.17122186169339698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12816.30275759552</v>
      </c>
      <c r="C12" s="23">
        <f ca="1">C10*C8</f>
        <v>0</v>
      </c>
      <c r="D12" s="23">
        <f>D8*D10</f>
        <v>25098.597902532001</v>
      </c>
      <c r="E12" s="23">
        <f>E10*E8</f>
        <v>1175.0336266780312</v>
      </c>
      <c r="F12" s="23">
        <f>F10*F8</f>
        <v>42354.740464827817</v>
      </c>
      <c r="G12" s="23"/>
      <c r="H12" s="23"/>
      <c r="I12" s="23"/>
      <c r="J12" s="23">
        <f>J10*J8</f>
        <v>1063.4775837087134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16874</v>
      </c>
      <c r="C26" s="36"/>
      <c r="D26" s="227"/>
    </row>
    <row r="27" spans="1:5" s="15" customFormat="1">
      <c r="A27" s="229" t="s">
        <v>697</v>
      </c>
      <c r="B27" s="37">
        <f>SUM(HH_hh_gas_aantal,HH_rest_gas_aantal)</f>
        <v>8207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7796.65</v>
      </c>
      <c r="C31" s="34" t="s">
        <v>104</v>
      </c>
      <c r="D31" s="173"/>
    </row>
    <row r="32" spans="1:5">
      <c r="A32" s="170" t="s">
        <v>72</v>
      </c>
      <c r="B32" s="33">
        <f>IF((B21*($B$26-($B$27-0.05*$B$27)-$B$60))&lt;0,0,B21*($B$26-($B$27-0.05*$B$27)-$B$60))</f>
        <v>225.73340492497539</v>
      </c>
      <c r="C32" s="34" t="s">
        <v>104</v>
      </c>
      <c r="D32" s="173"/>
    </row>
    <row r="33" spans="1:6">
      <c r="A33" s="170" t="s">
        <v>73</v>
      </c>
      <c r="B33" s="33">
        <f>IF((B22*($B$26-($B$27-0.05*$B$27)-$B$60))&lt;0,0,B22*($B$26-($B$27-0.05*$B$27)-$B$60))</f>
        <v>1519.4505642002437</v>
      </c>
      <c r="C33" s="34" t="s">
        <v>104</v>
      </c>
      <c r="D33" s="173"/>
    </row>
    <row r="34" spans="1:6">
      <c r="A34" s="170" t="s">
        <v>74</v>
      </c>
      <c r="B34" s="33">
        <f>IF((B24*($B$26-($B$27-0.05*$B$27)-$B$60))&lt;0,0,B24*($B$26-($B$27-0.05*$B$27)-$B$60))</f>
        <v>385.50520355736865</v>
      </c>
      <c r="C34" s="33">
        <f>B26*C24</f>
        <v>3451.7465811680149</v>
      </c>
      <c r="D34" s="232"/>
    </row>
    <row r="35" spans="1:6">
      <c r="A35" s="170" t="s">
        <v>76</v>
      </c>
      <c r="B35" s="33">
        <f>IF((B19*($B$26-($B$27-0.05*$B$27)-$B$60))&lt;0,0,B19*($B$26-($B$27-0.05*$B$27)-$B$60))</f>
        <v>143.26639660310423</v>
      </c>
      <c r="C35" s="33">
        <f>B35/2</f>
        <v>71.633198301552113</v>
      </c>
      <c r="D35" s="232"/>
    </row>
    <row r="36" spans="1:6">
      <c r="A36" s="170" t="s">
        <v>77</v>
      </c>
      <c r="B36" s="33">
        <f>IF((B18*($B$26-($B$27-0.05*$B$27)-$B$60))&lt;0,0,B18*($B$26-($B$27-0.05*$B$27)-$B$60))</f>
        <v>6740.3944307143092</v>
      </c>
      <c r="C36" s="34" t="s">
        <v>104</v>
      </c>
      <c r="D36" s="173"/>
    </row>
    <row r="37" spans="1:6">
      <c r="A37" s="170" t="s">
        <v>78</v>
      </c>
      <c r="B37" s="33">
        <f>B60</f>
        <v>63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495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42707.972000000002</v>
      </c>
      <c r="C5" s="17">
        <f>IF(ISERROR('Eigen informatie GS &amp; warmtenet'!B58),0,'Eigen informatie GS &amp; warmtenet'!B58)</f>
        <v>0</v>
      </c>
      <c r="D5" s="30">
        <f>SUM(D6:D12)</f>
        <v>24976.768762</v>
      </c>
      <c r="E5" s="17">
        <f>SUM(E6:E12)</f>
        <v>238.37854440387338</v>
      </c>
      <c r="F5" s="17">
        <f>SUM(F6:F12)</f>
        <v>5437.8625044076462</v>
      </c>
      <c r="G5" s="18"/>
      <c r="H5" s="17"/>
      <c r="I5" s="17"/>
      <c r="J5" s="17">
        <f>SUM(J6:J12)</f>
        <v>126.68378349530985</v>
      </c>
      <c r="K5" s="17"/>
      <c r="L5" s="17"/>
      <c r="M5" s="17"/>
      <c r="N5" s="17">
        <f>SUM(N6:N12)</f>
        <v>3313.4630992338821</v>
      </c>
      <c r="O5" s="17">
        <f>B38*B39*B40</f>
        <v>4.6900000000000004</v>
      </c>
      <c r="P5" s="17">
        <f>B46*B47*B48/1000-B46*B47*B48/1000/B49</f>
        <v>57.2</v>
      </c>
      <c r="R5" s="32"/>
    </row>
    <row r="6" spans="1:18">
      <c r="A6" s="32" t="s">
        <v>53</v>
      </c>
      <c r="B6" s="37">
        <f>B26</f>
        <v>13050.896000000001</v>
      </c>
      <c r="C6" s="33"/>
      <c r="D6" s="37">
        <f>IF(ISERROR(TER_kantoor_gas_kWh/1000),0,TER_kantoor_gas_kWh/1000)*0.902</f>
        <v>7395.393368</v>
      </c>
      <c r="E6" s="33">
        <f>$C$26*'E Balans VL '!I12/100/3.6*1000000</f>
        <v>110.16094511230328</v>
      </c>
      <c r="F6" s="33">
        <f>$C$26*('E Balans VL '!L12+'E Balans VL '!N12)/100/3.6*1000000</f>
        <v>1749.9806529612358</v>
      </c>
      <c r="G6" s="34"/>
      <c r="H6" s="33"/>
      <c r="I6" s="33"/>
      <c r="J6" s="33">
        <f>$C$26*('E Balans VL '!D12+'E Balans VL '!E12)/100/3.6*1000000</f>
        <v>0</v>
      </c>
      <c r="K6" s="33"/>
      <c r="L6" s="33"/>
      <c r="M6" s="33"/>
      <c r="N6" s="33">
        <f>$C$26*'E Balans VL '!Y12/100/3.6*1000000</f>
        <v>114.77859393440836</v>
      </c>
      <c r="O6" s="33"/>
      <c r="P6" s="33"/>
      <c r="R6" s="32"/>
    </row>
    <row r="7" spans="1:18">
      <c r="A7" s="32" t="s">
        <v>52</v>
      </c>
      <c r="B7" s="37">
        <f t="shared" ref="B7:B12" si="0">B27</f>
        <v>4014.1610000000001</v>
      </c>
      <c r="C7" s="33"/>
      <c r="D7" s="37">
        <f>IF(ISERROR(TER_horeca_gas_kWh/1000),0,TER_horeca_gas_kWh/1000)*0.902</f>
        <v>2598.446422</v>
      </c>
      <c r="E7" s="33">
        <f>$C$27*'E Balans VL '!I9/100/3.6*1000000</f>
        <v>52.778203174400169</v>
      </c>
      <c r="F7" s="33">
        <f>$C$27*('E Balans VL '!L9+'E Balans VL '!N9)/100/3.6*1000000</f>
        <v>1008.1057468713242</v>
      </c>
      <c r="G7" s="34"/>
      <c r="H7" s="33"/>
      <c r="I7" s="33"/>
      <c r="J7" s="33">
        <f>$C$27*('E Balans VL '!D9+'E Balans VL '!E9)/100/3.6*1000000</f>
        <v>0</v>
      </c>
      <c r="K7" s="33"/>
      <c r="L7" s="33"/>
      <c r="M7" s="33"/>
      <c r="N7" s="33">
        <f>$C$27*'E Balans VL '!Y9/100/3.6*1000000</f>
        <v>1.092806058919114</v>
      </c>
      <c r="O7" s="33"/>
      <c r="P7" s="33"/>
      <c r="R7" s="32"/>
    </row>
    <row r="8" spans="1:18">
      <c r="A8" s="6" t="s">
        <v>51</v>
      </c>
      <c r="B8" s="37">
        <f t="shared" si="0"/>
        <v>16082.489</v>
      </c>
      <c r="C8" s="33"/>
      <c r="D8" s="37">
        <f>IF(ISERROR(TER_handel_gas_kWh/1000),0,TER_handel_gas_kWh/1000)*0.902</f>
        <v>7787.0976920000012</v>
      </c>
      <c r="E8" s="33">
        <f>$C$28*'E Balans VL '!I13/100/3.6*1000000</f>
        <v>70.431135580861024</v>
      </c>
      <c r="F8" s="33">
        <f>$C$28*('E Balans VL '!L13+'E Balans VL '!N13)/100/3.6*1000000</f>
        <v>1080.9784147729856</v>
      </c>
      <c r="G8" s="34"/>
      <c r="H8" s="33"/>
      <c r="I8" s="33"/>
      <c r="J8" s="33">
        <f>$C$28*('E Balans VL '!D13+'E Balans VL '!E13)/100/3.6*1000000</f>
        <v>0</v>
      </c>
      <c r="K8" s="33"/>
      <c r="L8" s="33"/>
      <c r="M8" s="33"/>
      <c r="N8" s="33">
        <f>$C$28*'E Balans VL '!Y13/100/3.6*1000000</f>
        <v>47.511778017255807</v>
      </c>
      <c r="O8" s="33"/>
      <c r="P8" s="33"/>
      <c r="R8" s="32"/>
    </row>
    <row r="9" spans="1:18">
      <c r="A9" s="32" t="s">
        <v>50</v>
      </c>
      <c r="B9" s="37">
        <f t="shared" si="0"/>
        <v>3054.03</v>
      </c>
      <c r="C9" s="33"/>
      <c r="D9" s="37">
        <f>IF(ISERROR(TER_gezond_gas_kWh/1000),0,TER_gezond_gas_kWh/1000)*0.902</f>
        <v>1822.4035060000001</v>
      </c>
      <c r="E9" s="33">
        <f>$C$29*'E Balans VL '!I10/100/3.6*1000000</f>
        <v>1.0502944006486736</v>
      </c>
      <c r="F9" s="33">
        <f>$C$29*('E Balans VL '!L10+'E Balans VL '!N10)/100/3.6*1000000</f>
        <v>266.93425122352869</v>
      </c>
      <c r="G9" s="34"/>
      <c r="H9" s="33"/>
      <c r="I9" s="33"/>
      <c r="J9" s="33">
        <f>$C$29*('E Balans VL '!D10+'E Balans VL '!E10)/100/3.6*1000000</f>
        <v>126.68378349530985</v>
      </c>
      <c r="K9" s="33"/>
      <c r="L9" s="33"/>
      <c r="M9" s="33"/>
      <c r="N9" s="33">
        <f>$C$29*'E Balans VL '!Y10/100/3.6*1000000</f>
        <v>32.020375971526171</v>
      </c>
      <c r="O9" s="33"/>
      <c r="P9" s="33"/>
      <c r="R9" s="32"/>
    </row>
    <row r="10" spans="1:18">
      <c r="A10" s="32" t="s">
        <v>49</v>
      </c>
      <c r="B10" s="37">
        <f t="shared" si="0"/>
        <v>5251.3280000000004</v>
      </c>
      <c r="C10" s="33"/>
      <c r="D10" s="37">
        <f>IF(ISERROR(TER_ander_gas_kWh/1000),0,TER_ander_gas_kWh/1000)*0.902</f>
        <v>3333.266134</v>
      </c>
      <c r="E10" s="33">
        <f>$C$30*'E Balans VL '!I14/100/3.6*1000000</f>
        <v>3.1231563713772084</v>
      </c>
      <c r="F10" s="33">
        <f>$C$30*('E Balans VL '!L14+'E Balans VL '!N14)/100/3.6*1000000</f>
        <v>929.76410614427687</v>
      </c>
      <c r="G10" s="34"/>
      <c r="H10" s="33"/>
      <c r="I10" s="33"/>
      <c r="J10" s="33">
        <f>$C$30*('E Balans VL '!D14+'E Balans VL '!E14)/100/3.6*1000000</f>
        <v>0</v>
      </c>
      <c r="K10" s="33"/>
      <c r="L10" s="33"/>
      <c r="M10" s="33"/>
      <c r="N10" s="33">
        <f>$C$30*'E Balans VL '!Y14/100/3.6*1000000</f>
        <v>3118.0595452517728</v>
      </c>
      <c r="O10" s="33"/>
      <c r="P10" s="33"/>
      <c r="R10" s="32"/>
    </row>
    <row r="11" spans="1:18">
      <c r="A11" s="32" t="s">
        <v>54</v>
      </c>
      <c r="B11" s="37">
        <f t="shared" si="0"/>
        <v>1255.068</v>
      </c>
      <c r="C11" s="33"/>
      <c r="D11" s="37">
        <f>IF(ISERROR(TER_onderwijs_gas_kWh/1000),0,TER_onderwijs_gas_kWh/1000)*0.902</f>
        <v>2040.1616400000003</v>
      </c>
      <c r="E11" s="33">
        <f>$C$31*'E Balans VL '!I11/100/3.6*1000000</f>
        <v>0.83480976428301612</v>
      </c>
      <c r="F11" s="33">
        <f>$C$31*('E Balans VL '!L11+'E Balans VL '!N11)/100/3.6*1000000</f>
        <v>402.09933243429521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45</v>
      </c>
      <c r="C13" s="245">
        <f ca="1">'lokale energieproductie'!O38+'lokale energieproductie'!O31</f>
        <v>64.285714285714292</v>
      </c>
      <c r="D13" s="305">
        <f ca="1">('lokale energieproductie'!P31+'lokale energieproductie'!P38)*(-1)</f>
        <v>-128.57142857142858</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42752.972000000002</v>
      </c>
      <c r="C16" s="21">
        <f t="shared" ca="1" si="1"/>
        <v>64.285714285714292</v>
      </c>
      <c r="D16" s="21">
        <f t="shared" ca="1" si="1"/>
        <v>24848.197333428572</v>
      </c>
      <c r="E16" s="21">
        <f t="shared" si="1"/>
        <v>238.37854440387338</v>
      </c>
      <c r="F16" s="21">
        <f t="shared" ca="1" si="1"/>
        <v>5437.8625044076462</v>
      </c>
      <c r="G16" s="21">
        <f t="shared" si="1"/>
        <v>0</v>
      </c>
      <c r="H16" s="21">
        <f t="shared" si="1"/>
        <v>0</v>
      </c>
      <c r="I16" s="21">
        <f t="shared" si="1"/>
        <v>0</v>
      </c>
      <c r="J16" s="21">
        <f t="shared" si="1"/>
        <v>126.68378349530985</v>
      </c>
      <c r="K16" s="21">
        <f t="shared" si="1"/>
        <v>0</v>
      </c>
      <c r="L16" s="21">
        <f t="shared" ca="1" si="1"/>
        <v>0</v>
      </c>
      <c r="M16" s="21">
        <f t="shared" si="1"/>
        <v>0</v>
      </c>
      <c r="N16" s="21">
        <f t="shared" ca="1" si="1"/>
        <v>3313.4630992338821</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0.17122186169339698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7320.2434587656744</v>
      </c>
      <c r="C20" s="23">
        <f t="shared" ref="C20:P20" ca="1" si="2">C16*C18</f>
        <v>15.277310924369752</v>
      </c>
      <c r="D20" s="23">
        <f t="shared" ca="1" si="2"/>
        <v>5019.3358613525716</v>
      </c>
      <c r="E20" s="23">
        <f t="shared" si="2"/>
        <v>54.111929579679256</v>
      </c>
      <c r="F20" s="23">
        <f t="shared" ca="1" si="2"/>
        <v>1451.9092886768417</v>
      </c>
      <c r="G20" s="23">
        <f t="shared" si="2"/>
        <v>0</v>
      </c>
      <c r="H20" s="23">
        <f t="shared" si="2"/>
        <v>0</v>
      </c>
      <c r="I20" s="23">
        <f t="shared" si="2"/>
        <v>0</v>
      </c>
      <c r="J20" s="23">
        <f t="shared" si="2"/>
        <v>44.846059357339684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13050.896000000001</v>
      </c>
      <c r="C26" s="39">
        <f>IF(ISERROR(B26*3.6/1000000/'E Balans VL '!Z12*100),0,B26*3.6/1000000/'E Balans VL '!Z12*100)</f>
        <v>0.27353057800970548</v>
      </c>
      <c r="D26" s="235" t="s">
        <v>647</v>
      </c>
      <c r="F26" s="6"/>
    </row>
    <row r="27" spans="1:18">
      <c r="A27" s="230" t="s">
        <v>52</v>
      </c>
      <c r="B27" s="33">
        <f>IF(ISERROR(TER_horeca_ele_kWh/1000),0,TER_horeca_ele_kWh/1000)</f>
        <v>4014.1610000000001</v>
      </c>
      <c r="C27" s="39">
        <f>IF(ISERROR(B27*3.6/1000000/'E Balans VL '!Z9*100),0,B27*3.6/1000000/'E Balans VL '!Z9*100)</f>
        <v>0.30776503315105869</v>
      </c>
      <c r="D27" s="235" t="s">
        <v>647</v>
      </c>
      <c r="F27" s="6"/>
    </row>
    <row r="28" spans="1:18">
      <c r="A28" s="170" t="s">
        <v>51</v>
      </c>
      <c r="B28" s="33">
        <f>IF(ISERROR(TER_handel_ele_kWh/1000),0,TER_handel_ele_kWh/1000)</f>
        <v>16082.489</v>
      </c>
      <c r="C28" s="39">
        <f>IF(ISERROR(B28*3.6/1000000/'E Balans VL '!Z13*100),0,B28*3.6/1000000/'E Balans VL '!Z13*100)</f>
        <v>0.45371073989413774</v>
      </c>
      <c r="D28" s="235" t="s">
        <v>647</v>
      </c>
      <c r="F28" s="6"/>
    </row>
    <row r="29" spans="1:18">
      <c r="A29" s="230" t="s">
        <v>50</v>
      </c>
      <c r="B29" s="33">
        <f>IF(ISERROR(TER_gezond_ele_kWh/1000),0,TER_gezond_ele_kWh/1000)</f>
        <v>3054.03</v>
      </c>
      <c r="C29" s="39">
        <f>IF(ISERROR(B29*3.6/1000000/'E Balans VL '!Z10*100),0,B29*3.6/1000000/'E Balans VL '!Z10*100)</f>
        <v>0.3391120484382249</v>
      </c>
      <c r="D29" s="235" t="s">
        <v>647</v>
      </c>
      <c r="F29" s="6"/>
    </row>
    <row r="30" spans="1:18">
      <c r="A30" s="230" t="s">
        <v>49</v>
      </c>
      <c r="B30" s="33">
        <f>IF(ISERROR(TER_ander_ele_kWh/1000),0,TER_ander_ele_kWh/1000)</f>
        <v>5251.3280000000004</v>
      </c>
      <c r="C30" s="39">
        <f>IF(ISERROR(B30*3.6/1000000/'E Balans VL '!Z14*100),0,B30*3.6/1000000/'E Balans VL '!Z14*100)</f>
        <v>0.37891182800492668</v>
      </c>
      <c r="D30" s="235" t="s">
        <v>647</v>
      </c>
      <c r="F30" s="6"/>
    </row>
    <row r="31" spans="1:18">
      <c r="A31" s="230" t="s">
        <v>54</v>
      </c>
      <c r="B31" s="33">
        <f>IF(ISERROR(TER_onderwijs_ele_kWh/1000),0,TER_onderwijs_ele_kWh/1000)</f>
        <v>1255.068</v>
      </c>
      <c r="C31" s="39">
        <f>IF(ISERROR(B31*3.6/1000000/'E Balans VL '!Z11*100),0,B31*3.6/1000000/'E Balans VL '!Z11*100)</f>
        <v>0.34789490807571016</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3</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38606.417000000009</v>
      </c>
      <c r="C5" s="17">
        <f>IF(ISERROR('Eigen informatie GS &amp; warmtenet'!B59),0,'Eigen informatie GS &amp; warmtenet'!B59)</f>
        <v>0</v>
      </c>
      <c r="D5" s="30">
        <f>SUM(D6:D15)</f>
        <v>34971.347289999998</v>
      </c>
      <c r="E5" s="17">
        <f>SUM(E6:E15)</f>
        <v>1933.2086695795754</v>
      </c>
      <c r="F5" s="17">
        <f>SUM(F6:F15)</f>
        <v>15856.930471335625</v>
      </c>
      <c r="G5" s="18"/>
      <c r="H5" s="17"/>
      <c r="I5" s="17"/>
      <c r="J5" s="17">
        <f>SUM(J6:J15)</f>
        <v>7.1313096358335919</v>
      </c>
      <c r="K5" s="17"/>
      <c r="L5" s="17"/>
      <c r="M5" s="17"/>
      <c r="N5" s="17">
        <f>SUM(N6:N15)</f>
        <v>5761.34283813411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4083.7669999999998</v>
      </c>
      <c r="C8" s="33"/>
      <c r="D8" s="37">
        <f>IF( ISERROR(IND_metaal_Gas_kWH/1000),0,IND_metaal_Gas_kWH/1000)*0.902</f>
        <v>9774.2496940000001</v>
      </c>
      <c r="E8" s="33">
        <f>C30*'E Balans VL '!I18/100/3.6*1000000</f>
        <v>117.30111682082983</v>
      </c>
      <c r="F8" s="33">
        <f>C30*'E Balans VL '!L18/100/3.6*1000000+C30*'E Balans VL '!N18/100/3.6*1000000</f>
        <v>1047.4076933732001</v>
      </c>
      <c r="G8" s="34"/>
      <c r="H8" s="33"/>
      <c r="I8" s="33"/>
      <c r="J8" s="40">
        <f>C30*'E Balans VL '!D18/100/3.6*1000000+C30*'E Balans VL '!E18/100/3.6*1000000</f>
        <v>0</v>
      </c>
      <c r="K8" s="33"/>
      <c r="L8" s="33"/>
      <c r="M8" s="33"/>
      <c r="N8" s="33">
        <f>C30*'E Balans VL '!Y18/100/3.6*1000000</f>
        <v>110.88261019949367</v>
      </c>
      <c r="O8" s="33"/>
      <c r="P8" s="33"/>
      <c r="R8" s="32"/>
    </row>
    <row r="9" spans="1:18">
      <c r="A9" s="6" t="s">
        <v>32</v>
      </c>
      <c r="B9" s="37">
        <f t="shared" si="0"/>
        <v>3783.52</v>
      </c>
      <c r="C9" s="33"/>
      <c r="D9" s="37">
        <f>IF( ISERROR(IND_andere_gas_kWh/1000),0,IND_andere_gas_kWh/1000)*0.902</f>
        <v>3676.012604</v>
      </c>
      <c r="E9" s="33">
        <f>C31*'E Balans VL '!I19/100/3.6*1000000</f>
        <v>1024.1058384407327</v>
      </c>
      <c r="F9" s="33">
        <f>C31*'E Balans VL '!L19/100/3.6*1000000+C31*'E Balans VL '!N19/100/3.6*1000000</f>
        <v>2520.2247000514894</v>
      </c>
      <c r="G9" s="34"/>
      <c r="H9" s="33"/>
      <c r="I9" s="33"/>
      <c r="J9" s="40">
        <f>C31*'E Balans VL '!D19/100/3.6*1000000+C31*'E Balans VL '!E19/100/3.6*1000000</f>
        <v>0</v>
      </c>
      <c r="K9" s="33"/>
      <c r="L9" s="33"/>
      <c r="M9" s="33"/>
      <c r="N9" s="33">
        <f>C31*'E Balans VL '!Y19/100/3.6*1000000</f>
        <v>319.87155304203384</v>
      </c>
      <c r="O9" s="33"/>
      <c r="P9" s="33"/>
      <c r="R9" s="32"/>
    </row>
    <row r="10" spans="1:18">
      <c r="A10" s="6" t="s">
        <v>40</v>
      </c>
      <c r="B10" s="37">
        <f t="shared" si="0"/>
        <v>6986.9459999999999</v>
      </c>
      <c r="C10" s="33"/>
      <c r="D10" s="37">
        <f>IF( ISERROR(IND_voed_gas_kWh/1000),0,IND_voed_gas_kWh/1000)*0.902</f>
        <v>5252.3306660000007</v>
      </c>
      <c r="E10" s="33">
        <f>C32*'E Balans VL '!I20/100/3.6*1000000</f>
        <v>569.8713678507379</v>
      </c>
      <c r="F10" s="33">
        <f>C32*'E Balans VL '!L20/100/3.6*1000000+C32*'E Balans VL '!N20/100/3.6*1000000</f>
        <v>10418.170397285243</v>
      </c>
      <c r="G10" s="34"/>
      <c r="H10" s="33"/>
      <c r="I10" s="33"/>
      <c r="J10" s="40">
        <f>C32*'E Balans VL '!D20/100/3.6*1000000+C32*'E Balans VL '!E20/100/3.6*1000000</f>
        <v>9.24288145652893E-2</v>
      </c>
      <c r="K10" s="33"/>
      <c r="L10" s="33"/>
      <c r="M10" s="33"/>
      <c r="N10" s="33">
        <f>C32*'E Balans VL '!Y20/100/3.6*1000000</f>
        <v>2052.5181920598361</v>
      </c>
      <c r="O10" s="33"/>
      <c r="P10" s="33"/>
      <c r="R10" s="32"/>
    </row>
    <row r="11" spans="1:18">
      <c r="A11" s="6" t="s">
        <v>39</v>
      </c>
      <c r="B11" s="37">
        <f t="shared" si="0"/>
        <v>266.32</v>
      </c>
      <c r="C11" s="33"/>
      <c r="D11" s="37">
        <f>IF( ISERROR(IND_textiel_gas_kWh/1000),0,IND_textiel_gas_kWh/1000)*0.902</f>
        <v>0</v>
      </c>
      <c r="E11" s="33">
        <f>C33*'E Balans VL '!I21/100/3.6*1000000</f>
        <v>5.2790072829899767E-2</v>
      </c>
      <c r="F11" s="33">
        <f>C33*'E Balans VL '!L21/100/3.6*1000000+C33*'E Balans VL '!N21/100/3.6*1000000</f>
        <v>9.8088869161057417</v>
      </c>
      <c r="G11" s="34"/>
      <c r="H11" s="33"/>
      <c r="I11" s="33"/>
      <c r="J11" s="40">
        <f>C33*'E Balans VL '!D21/100/3.6*1000000+C33*'E Balans VL '!E21/100/3.6*1000000</f>
        <v>0</v>
      </c>
      <c r="K11" s="33"/>
      <c r="L11" s="33"/>
      <c r="M11" s="33"/>
      <c r="N11" s="33">
        <f>C33*'E Balans VL '!Y21/100/3.6*1000000</f>
        <v>1.2383207696873966</v>
      </c>
      <c r="O11" s="33"/>
      <c r="P11" s="33"/>
      <c r="R11" s="32"/>
    </row>
    <row r="12" spans="1:18">
      <c r="A12" s="6" t="s">
        <v>36</v>
      </c>
      <c r="B12" s="37">
        <f t="shared" si="0"/>
        <v>1196.317</v>
      </c>
      <c r="C12" s="33"/>
      <c r="D12" s="37">
        <f>IF( ISERROR(IND_min_gas_kWh/1000),0,IND_min_gas_kWh/1000)*0.902</f>
        <v>280.91346800000002</v>
      </c>
      <c r="E12" s="33">
        <f>C34*'E Balans VL '!I22/100/3.6*1000000</f>
        <v>9.3190487636211063</v>
      </c>
      <c r="F12" s="33">
        <f>C34*'E Balans VL '!L22/100/3.6*1000000+C34*'E Balans VL '!N22/100/3.6*1000000</f>
        <v>451.17725647500868</v>
      </c>
      <c r="G12" s="34"/>
      <c r="H12" s="33"/>
      <c r="I12" s="33"/>
      <c r="J12" s="40">
        <f>C34*'E Balans VL '!D22/100/3.6*1000000+C34*'E Balans VL '!E22/100/3.6*1000000</f>
        <v>6.5796389025025501</v>
      </c>
      <c r="K12" s="33"/>
      <c r="L12" s="33"/>
      <c r="M12" s="33"/>
      <c r="N12" s="33">
        <f>C34*'E Balans VL '!Y22/100/3.6*1000000</f>
        <v>0</v>
      </c>
      <c r="O12" s="33"/>
      <c r="P12" s="33"/>
      <c r="R12" s="32"/>
    </row>
    <row r="13" spans="1:18">
      <c r="A13" s="6" t="s">
        <v>38</v>
      </c>
      <c r="B13" s="37">
        <f t="shared" si="0"/>
        <v>17051.945</v>
      </c>
      <c r="C13" s="33"/>
      <c r="D13" s="37">
        <f>IF( ISERROR(IND_papier_gas_kWh/1000),0,IND_papier_gas_kWh/1000)*0.902</f>
        <v>12910.457692000002</v>
      </c>
      <c r="E13" s="33">
        <f>C35*'E Balans VL '!I23/100/3.6*1000000</f>
        <v>178.65018872762749</v>
      </c>
      <c r="F13" s="33">
        <f>C35*'E Balans VL '!L23/100/3.6*1000000+C35*'E Balans VL '!N23/100/3.6*1000000</f>
        <v>1272.4191582896065</v>
      </c>
      <c r="G13" s="34"/>
      <c r="H13" s="33"/>
      <c r="I13" s="33"/>
      <c r="J13" s="40">
        <f>C35*'E Balans VL '!D23/100/3.6*1000000+C35*'E Balans VL '!E23/100/3.6*1000000</f>
        <v>0</v>
      </c>
      <c r="K13" s="33"/>
      <c r="L13" s="33"/>
      <c r="M13" s="33"/>
      <c r="N13" s="33">
        <f>C35*'E Balans VL '!Y23/100/3.6*1000000</f>
        <v>3145.7151471354259</v>
      </c>
      <c r="O13" s="33"/>
      <c r="P13" s="33"/>
      <c r="R13" s="32"/>
    </row>
    <row r="14" spans="1:18">
      <c r="A14" s="6" t="s">
        <v>33</v>
      </c>
      <c r="B14" s="37">
        <f t="shared" si="0"/>
        <v>5058.4250000000002</v>
      </c>
      <c r="C14" s="33"/>
      <c r="D14" s="37">
        <f>IF( ISERROR(IND_chemie_gas_kWh/1000),0,IND_chemie_gas_kWh/1000)*0.902</f>
        <v>1097.0593039999999</v>
      </c>
      <c r="E14" s="33">
        <f>C36*'E Balans VL '!I24/100/3.6*1000000</f>
        <v>23.912362846098375</v>
      </c>
      <c r="F14" s="33">
        <f>C36*'E Balans VL '!L24/100/3.6*1000000+C36*'E Balans VL '!N24/100/3.6*1000000</f>
        <v>95.601517334463708</v>
      </c>
      <c r="G14" s="34"/>
      <c r="H14" s="33"/>
      <c r="I14" s="33"/>
      <c r="J14" s="40">
        <f>C36*'E Balans VL '!D24/100/3.6*1000000+C36*'E Balans VL '!E24/100/3.6*1000000</f>
        <v>0</v>
      </c>
      <c r="K14" s="33"/>
      <c r="L14" s="33"/>
      <c r="M14" s="33"/>
      <c r="N14" s="33">
        <f>C36*'E Balans VL '!Y24/100/3.6*1000000</f>
        <v>122.80144619062531</v>
      </c>
      <c r="O14" s="33"/>
      <c r="P14" s="33"/>
      <c r="R14" s="32"/>
    </row>
    <row r="15" spans="1:18">
      <c r="A15" s="6" t="s">
        <v>259</v>
      </c>
      <c r="B15" s="37">
        <f t="shared" si="0"/>
        <v>179.17699999999999</v>
      </c>
      <c r="C15" s="33"/>
      <c r="D15" s="37">
        <f>IF( ISERROR(IND_rest_gas_kWh/1000),0,IND_rest_gas_kWh/1000)*0.902</f>
        <v>1980.3238620000002</v>
      </c>
      <c r="E15" s="33">
        <f>C37*'E Balans VL '!I15/100/3.6*1000000</f>
        <v>9.9959560570981996</v>
      </c>
      <c r="F15" s="33">
        <f>C37*'E Balans VL '!L15/100/3.6*1000000+C37*'E Balans VL '!N15/100/3.6*1000000</f>
        <v>42.12086161050992</v>
      </c>
      <c r="G15" s="34"/>
      <c r="H15" s="33"/>
      <c r="I15" s="33"/>
      <c r="J15" s="40">
        <f>C37*'E Balans VL '!D15/100/3.6*1000000+C37*'E Balans VL '!E15/100/3.6*1000000</f>
        <v>0.45924191876575277</v>
      </c>
      <c r="K15" s="33"/>
      <c r="L15" s="33"/>
      <c r="M15" s="33"/>
      <c r="N15" s="33">
        <f>C37*'E Balans VL '!Y15/100/3.6*1000000</f>
        <v>8.3155687370070233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38606.417000000009</v>
      </c>
      <c r="C18" s="21">
        <f>C5+C16</f>
        <v>0</v>
      </c>
      <c r="D18" s="21">
        <f>MAX((D5+D16),0)</f>
        <v>34971.347289999998</v>
      </c>
      <c r="E18" s="21">
        <f>MAX((E5+E16),0)</f>
        <v>1933.2086695795754</v>
      </c>
      <c r="F18" s="21">
        <f>MAX((F5+F16),0)</f>
        <v>15856.930471335625</v>
      </c>
      <c r="G18" s="21"/>
      <c r="H18" s="21"/>
      <c r="I18" s="21"/>
      <c r="J18" s="21">
        <f>MAX((J5+J16),0)</f>
        <v>7.1313096358335919</v>
      </c>
      <c r="K18" s="21"/>
      <c r="L18" s="21">
        <f>MAX((L5+L16),0)</f>
        <v>0</v>
      </c>
      <c r="M18" s="21"/>
      <c r="N18" s="21">
        <f>MAX((N5+N16),0)</f>
        <v>5761.34283813411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0.17122186169339698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6610.2625920516111</v>
      </c>
      <c r="C22" s="23">
        <f ca="1">C18*C20</f>
        <v>0</v>
      </c>
      <c r="D22" s="23">
        <f>D18*D20</f>
        <v>7064.2121525800003</v>
      </c>
      <c r="E22" s="23">
        <f>E18*E20</f>
        <v>438.83836799456361</v>
      </c>
      <c r="F22" s="23">
        <f>F18*F20</f>
        <v>4233.8004358466123</v>
      </c>
      <c r="G22" s="23"/>
      <c r="H22" s="23"/>
      <c r="I22" s="23"/>
      <c r="J22" s="23">
        <f>J18*J20</f>
        <v>2.5244836110850915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4083.7669999999998</v>
      </c>
      <c r="C30" s="39">
        <f>IF(ISERROR(B30*3.6/1000000/'E Balans VL '!Z18*100),0,B30*3.6/1000000/'E Balans VL '!Z18*100)</f>
        <v>0.40183224805334572</v>
      </c>
      <c r="D30" s="235" t="s">
        <v>647</v>
      </c>
    </row>
    <row r="31" spans="1:18">
      <c r="A31" s="6" t="s">
        <v>32</v>
      </c>
      <c r="B31" s="37">
        <f>IF( ISERROR(IND_ander_ele_kWh/1000),0,IND_ander_ele_kWh/1000)</f>
        <v>3783.52</v>
      </c>
      <c r="C31" s="39">
        <f>IF(ISERROR(B31*3.6/1000000/'E Balans VL '!Z19*100),0,B31*3.6/1000000/'E Balans VL '!Z19*100)</f>
        <v>0.1647692779158261</v>
      </c>
      <c r="D31" s="235" t="s">
        <v>647</v>
      </c>
    </row>
    <row r="32" spans="1:18">
      <c r="A32" s="170" t="s">
        <v>40</v>
      </c>
      <c r="B32" s="37">
        <f>IF( ISERROR(IND_voed_ele_kWh/1000),0,IND_voed_ele_kWh/1000)</f>
        <v>6986.9459999999999</v>
      </c>
      <c r="C32" s="39">
        <f>IF(ISERROR(B32*3.6/1000000/'E Balans VL '!Z20*100),0,B32*3.6/1000000/'E Balans VL '!Z20*100)</f>
        <v>1.3256722407770056</v>
      </c>
      <c r="D32" s="235" t="s">
        <v>647</v>
      </c>
    </row>
    <row r="33" spans="1:5">
      <c r="A33" s="170" t="s">
        <v>39</v>
      </c>
      <c r="B33" s="37">
        <f>IF( ISERROR(IND_textiel_ele_kWh/1000),0,IND_textiel_ele_kWh/1000)</f>
        <v>266.32</v>
      </c>
      <c r="C33" s="39">
        <f>IF(ISERROR(B33*3.6/1000000/'E Balans VL '!Z21*100),0,B33*3.6/1000000/'E Balans VL '!Z21*100)</f>
        <v>1.5205521423271124E-2</v>
      </c>
      <c r="D33" s="235" t="s">
        <v>647</v>
      </c>
    </row>
    <row r="34" spans="1:5">
      <c r="A34" s="170" t="s">
        <v>36</v>
      </c>
      <c r="B34" s="37">
        <f>IF( ISERROR(IND_min_ele_kWh/1000),0,IND_min_ele_kWh/1000)</f>
        <v>1196.317</v>
      </c>
      <c r="C34" s="39">
        <f>IF(ISERROR(B34*3.6/1000000/'E Balans VL '!Z22*100),0,B34*3.6/1000000/'E Balans VL '!Z22*100)</f>
        <v>0.16821418324087195</v>
      </c>
      <c r="D34" s="235" t="s">
        <v>647</v>
      </c>
    </row>
    <row r="35" spans="1:5">
      <c r="A35" s="170" t="s">
        <v>38</v>
      </c>
      <c r="B35" s="37">
        <f>IF( ISERROR(IND_papier_ele_kWh/1000),0,IND_papier_ele_kWh/1000)</f>
        <v>17051.945</v>
      </c>
      <c r="C35" s="39">
        <f>IF(ISERROR(B35*3.6/1000000/'E Balans VL '!Z22*100),0,B35*3.6/1000000/'E Balans VL '!Z22*100)</f>
        <v>2.3976746972945051</v>
      </c>
      <c r="D35" s="235" t="s">
        <v>647</v>
      </c>
    </row>
    <row r="36" spans="1:5">
      <c r="A36" s="170" t="s">
        <v>33</v>
      </c>
      <c r="B36" s="37">
        <f>IF( ISERROR(IND_chemie_ele_kWh/1000),0,IND_chemie_ele_kWh/1000)</f>
        <v>5058.4250000000002</v>
      </c>
      <c r="C36" s="39">
        <f>IF(ISERROR(B36*3.6/1000000/'E Balans VL '!Z24*100),0,B36*3.6/1000000/'E Balans VL '!Z24*100)</f>
        <v>0.14741745185467889</v>
      </c>
      <c r="D36" s="235" t="s">
        <v>647</v>
      </c>
    </row>
    <row r="37" spans="1:5">
      <c r="A37" s="170" t="s">
        <v>259</v>
      </c>
      <c r="B37" s="37">
        <f>IF( ISERROR(IND_rest_ele_kWh/1000),0,IND_rest_ele_kWh/1000)</f>
        <v>179.17699999999999</v>
      </c>
      <c r="C37" s="39">
        <f>IF(ISERROR(B37*3.6/1000000/'E Balans VL '!Z15*100),0,B37*3.6/1000000/'E Balans VL '!Z15*100)</f>
        <v>1.3807788597196822E-3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689.71199999999999</v>
      </c>
      <c r="C5" s="17">
        <f>'Eigen informatie GS &amp; warmtenet'!B60</f>
        <v>0</v>
      </c>
      <c r="D5" s="30">
        <f>IF(ISERROR(SUM(LB_lb_gas_kWh,LB_rest_gas_kWh)/1000),0,SUM(LB_lb_gas_kWh,LB_rest_gas_kWh)/1000)*0.902</f>
        <v>503.86622</v>
      </c>
      <c r="E5" s="17">
        <f>B17*'E Balans VL '!I25/3.6*1000000/100</f>
        <v>14.321669771431464</v>
      </c>
      <c r="F5" s="17">
        <f>B17*('E Balans VL '!L25/3.6*1000000+'E Balans VL '!N25/3.6*1000000)/100</f>
        <v>2437.4598074357068</v>
      </c>
      <c r="G5" s="18"/>
      <c r="H5" s="17"/>
      <c r="I5" s="17"/>
      <c r="J5" s="17">
        <f>('E Balans VL '!D25+'E Balans VL '!E25)/3.6*1000000*landbouw!B17/100</f>
        <v>79.105604088625981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689.71199999999999</v>
      </c>
      <c r="C8" s="21">
        <f>C5+C6</f>
        <v>0</v>
      </c>
      <c r="D8" s="21">
        <f>MAX((D5+D6),0)</f>
        <v>503.86622</v>
      </c>
      <c r="E8" s="21">
        <f>MAX((E5+E6),0)</f>
        <v>14.321669771431464</v>
      </c>
      <c r="F8" s="21">
        <f>MAX((F5+F6),0)</f>
        <v>2437.4598074357068</v>
      </c>
      <c r="G8" s="21"/>
      <c r="H8" s="21"/>
      <c r="I8" s="21"/>
      <c r="J8" s="21">
        <f>MAX((J5+J6),0)</f>
        <v>79.105604088625981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0.17122186169339698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118.09377267227622</v>
      </c>
      <c r="C12" s="23">
        <f ca="1">C8*C10</f>
        <v>0</v>
      </c>
      <c r="D12" s="23">
        <f>D8*D10</f>
        <v>101.78097644</v>
      </c>
      <c r="E12" s="23">
        <f>E8*E10</f>
        <v>3.2510190381149426</v>
      </c>
      <c r="F12" s="23">
        <f>F8*F10</f>
        <v>650.80176858533378</v>
      </c>
      <c r="G12" s="23"/>
      <c r="H12" s="23"/>
      <c r="I12" s="23"/>
      <c r="J12" s="23">
        <f>J8*J10</f>
        <v>28.003383847373595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9.6193085539597184E-2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58.309078276215011</v>
      </c>
      <c r="C26" s="245">
        <f>B26*'GWP N2O_CH4'!B5</f>
        <v>1224.4906438005153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24.300357816867812</v>
      </c>
      <c r="C27" s="245">
        <f>B27*'GWP N2O_CH4'!B5</f>
        <v>510.30751415422407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0.901330127075472</v>
      </c>
      <c r="C28" s="245">
        <f>B28*'GWP N2O_CH4'!B4</f>
        <v>279.41233939339634</v>
      </c>
      <c r="D28" s="50"/>
    </row>
    <row r="29" spans="1:4">
      <c r="A29" s="41" t="s">
        <v>266</v>
      </c>
      <c r="B29" s="245">
        <f>B34*'ha_N2O bodem landbouw'!B4</f>
        <v>12.074077163560295</v>
      </c>
      <c r="C29" s="245">
        <f>B29*'GWP N2O_CH4'!B4</f>
        <v>3742.9639207036917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3.0147764201946888E-3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7.2515371557188072E-5</v>
      </c>
      <c r="C5" s="434" t="s">
        <v>204</v>
      </c>
      <c r="D5" s="419">
        <f>SUM(D6:D11)</f>
        <v>7.3450110254134947E-5</v>
      </c>
      <c r="E5" s="419">
        <f>SUM(E6:E11)</f>
        <v>2.7517769563046323E-3</v>
      </c>
      <c r="F5" s="432" t="s">
        <v>204</v>
      </c>
      <c r="G5" s="419">
        <f>SUM(G6:G11)</f>
        <v>0.73919791710518912</v>
      </c>
      <c r="H5" s="419">
        <f>SUM(H6:H11)</f>
        <v>0.13485733894454396</v>
      </c>
      <c r="I5" s="434" t="s">
        <v>204</v>
      </c>
      <c r="J5" s="434" t="s">
        <v>204</v>
      </c>
      <c r="K5" s="434" t="s">
        <v>204</v>
      </c>
      <c r="L5" s="434" t="s">
        <v>204</v>
      </c>
      <c r="M5" s="419">
        <f>SUM(M6:M11)</f>
        <v>3.9522981947103034E-2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2.3455373330140983E-5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2.0805102465714931E-5</v>
      </c>
      <c r="E6" s="836">
        <f>vkm_GW_PW*SUMIFS(TableVerdeelsleutelVkm[LPG],TableVerdeelsleutelVkm[Voertuigtype],"Lichte voertuigen")*SUMIFS(TableECFTransport[EnergieConsumptieFactor (PJ per km)],TableECFTransport[Index],CONCATENATE($A6,"_LPG_LPG"))</f>
        <v>7.4709405850963151E-4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0.14851813836321456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3.8339053628249117E-2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8.4534546717907992E-3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2.5153215953352565E-7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3.936104303529625E-2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1.0354154333583104E-6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1.7772180415118548E-3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2.3217459650743789E-5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3.2400541330074606E-5</v>
      </c>
      <c r="E8" s="422">
        <f>vkm_NGW_PW*SUMIFS(TableVerdeelsleutelVkm[LPG],TableVerdeelsleutelVkm[Voertuigtype],"Lichte voertuigen")*SUMIFS(TableECFTransport[EnergieConsumptieFactor (PJ per km)],TableECFTransport[Index],CONCATENATE($A8,"_LPG_LPG"))</f>
        <v>1.1045830656842548E-3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0.20716288638931116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5.7229879466334288E-2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1.1962482259986491E-2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1.2367842078134397E-7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2.48603398150887E-2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6.1451359037069737E-7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1.1224848286058287E-3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2.4424939107704201E-5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2.0244466458345414E-5</v>
      </c>
      <c r="E10" s="422">
        <f>vkm_SW_PW*SUMIFS(TableVerdeelsleutelVkm[LPG],TableVerdeelsleutelVkm[Voertuigtype],"Lichte voertuigen")*SUMIFS(TableECFTransport[EnergieConsumptieFactor (PJ per km)],TableECFTransport[Index],CONCATENATE($A10,"_LPG_LPG"))</f>
        <v>9.0009983211074578E-4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0.16387785587660642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3.928233938948917E-2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9.1899557761279862E-3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1.042388888284229E-6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0.15541765362567203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4.4165314476838337E-6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7.0173863690800743E-3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20.143158765885577</v>
      </c>
      <c r="C14" s="21"/>
      <c r="D14" s="21">
        <f t="shared" ref="D14:M14" si="0">((D5)*10^9/3600)+D12</f>
        <v>20.402808403926375</v>
      </c>
      <c r="E14" s="21">
        <f t="shared" si="0"/>
        <v>764.38248786239785</v>
      </c>
      <c r="F14" s="21"/>
      <c r="G14" s="21">
        <f t="shared" si="0"/>
        <v>205332.75475144142</v>
      </c>
      <c r="H14" s="21">
        <f t="shared" si="0"/>
        <v>37460.371929039989</v>
      </c>
      <c r="I14" s="21"/>
      <c r="J14" s="21"/>
      <c r="K14" s="21"/>
      <c r="L14" s="21"/>
      <c r="M14" s="21">
        <f t="shared" si="0"/>
        <v>10978.606096417509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0.17122186169339698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3.4489491442805971</v>
      </c>
      <c r="C18" s="23"/>
      <c r="D18" s="23">
        <f t="shared" ref="D18:M18" si="1">D14*D16</f>
        <v>4.1213672975931281</v>
      </c>
      <c r="E18" s="23">
        <f t="shared" si="1"/>
        <v>173.51482474476433</v>
      </c>
      <c r="F18" s="23"/>
      <c r="G18" s="23">
        <f t="shared" si="1"/>
        <v>54823.845518634858</v>
      </c>
      <c r="H18" s="23">
        <f t="shared" si="1"/>
        <v>9327.6326103309566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6.6107433611408873E-5</v>
      </c>
      <c r="C50" s="316">
        <f t="shared" ref="C50:P50" si="2">SUM(C51:C52)</f>
        <v>0</v>
      </c>
      <c r="D50" s="316">
        <f t="shared" si="2"/>
        <v>0</v>
      </c>
      <c r="E50" s="316">
        <f t="shared" si="2"/>
        <v>0</v>
      </c>
      <c r="F50" s="316">
        <f t="shared" si="2"/>
        <v>0</v>
      </c>
      <c r="G50" s="316">
        <f t="shared" si="2"/>
        <v>1.2867437890618864E-2</v>
      </c>
      <c r="H50" s="316">
        <f t="shared" si="2"/>
        <v>0</v>
      </c>
      <c r="I50" s="316">
        <f t="shared" si="2"/>
        <v>0</v>
      </c>
      <c r="J50" s="316">
        <f t="shared" si="2"/>
        <v>0</v>
      </c>
      <c r="K50" s="316">
        <f t="shared" si="2"/>
        <v>0</v>
      </c>
      <c r="L50" s="316">
        <f t="shared" si="2"/>
        <v>0</v>
      </c>
      <c r="M50" s="316">
        <f t="shared" si="2"/>
        <v>5.7698672707719319E-4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6.6107433611408873E-5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1.2867437890618864E-2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5.7698672707719319E-4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18.363176003169134</v>
      </c>
      <c r="C54" s="21">
        <f t="shared" ref="C54:P54" si="3">(C50)*10^9/3600</f>
        <v>0</v>
      </c>
      <c r="D54" s="21">
        <f t="shared" si="3"/>
        <v>0</v>
      </c>
      <c r="E54" s="21">
        <f t="shared" si="3"/>
        <v>0</v>
      </c>
      <c r="F54" s="21">
        <f t="shared" si="3"/>
        <v>0</v>
      </c>
      <c r="G54" s="21">
        <f t="shared" si="3"/>
        <v>3574.2883029496847</v>
      </c>
      <c r="H54" s="21">
        <f t="shared" si="3"/>
        <v>0</v>
      </c>
      <c r="I54" s="21">
        <f t="shared" si="3"/>
        <v>0</v>
      </c>
      <c r="J54" s="21">
        <f t="shared" si="3"/>
        <v>0</v>
      </c>
      <c r="K54" s="21">
        <f t="shared" si="3"/>
        <v>0</v>
      </c>
      <c r="L54" s="21">
        <f t="shared" si="3"/>
        <v>0</v>
      </c>
      <c r="M54" s="21">
        <f t="shared" si="3"/>
        <v>160.27409085477589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0.17122186169339698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3.1441771818661319</v>
      </c>
      <c r="C58" s="23">
        <f t="shared" ref="C58:P58" ca="1" si="4">C54*C56</f>
        <v>0</v>
      </c>
      <c r="D58" s="23">
        <f t="shared" si="4"/>
        <v>0</v>
      </c>
      <c r="E58" s="23">
        <f t="shared" si="4"/>
        <v>0</v>
      </c>
      <c r="F58" s="23">
        <f t="shared" si="4"/>
        <v>0</v>
      </c>
      <c r="G58" s="23">
        <f t="shared" si="4"/>
        <v>954.33497688756586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19781.66144</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16435.994954211579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52.941176470588239</v>
      </c>
      <c r="D8" s="963"/>
      <c r="E8" s="963">
        <f>E48</f>
        <v>0</v>
      </c>
      <c r="F8" s="964"/>
      <c r="G8" s="547"/>
      <c r="H8" s="963">
        <f>I48</f>
        <v>0</v>
      </c>
      <c r="I8" s="963">
        <f>G48+F48</f>
        <v>0</v>
      </c>
      <c r="J8" s="963">
        <f>H48+D48+C48</f>
        <v>0</v>
      </c>
      <c r="K8" s="963"/>
      <c r="L8" s="963"/>
      <c r="M8" s="963"/>
      <c r="N8" s="548"/>
      <c r="O8" s="549">
        <f>C8*$C$12+D8*$D$12+E8*$E$12+F8*$F$12+G8*$G$12+H8*$H$12+I8*$I$12+J8*$J$12</f>
        <v>10.694117647058825</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36262.656394211575</v>
      </c>
      <c r="C10" s="559">
        <f t="shared" ref="C10:L10" si="0">SUM(C8:C9)</f>
        <v>52.941176470588239</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10.694117647058825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64.285714285714292</v>
      </c>
      <c r="C17" s="571">
        <f>B49</f>
        <v>75.630252100840352</v>
      </c>
      <c r="D17" s="572"/>
      <c r="E17" s="572">
        <f>E49</f>
        <v>0</v>
      </c>
      <c r="F17" s="969"/>
      <c r="G17" s="573"/>
      <c r="H17" s="571">
        <f>I49</f>
        <v>0</v>
      </c>
      <c r="I17" s="572">
        <f>G49+F49</f>
        <v>0</v>
      </c>
      <c r="J17" s="572">
        <f>H49+D49+C49</f>
        <v>0</v>
      </c>
      <c r="K17" s="572"/>
      <c r="L17" s="572"/>
      <c r="M17" s="572"/>
      <c r="N17" s="970"/>
      <c r="O17" s="574">
        <f>C17*$C$22+E17*$E$22+H17*$H$22+I17*$I$22+J17*$J$22+D17*$D$22+F17*$F$22+G17*$G$22+K17*$K$22+L17*$L$22</f>
        <v>15.277310924369752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64.285714285714292</v>
      </c>
      <c r="C20" s="558">
        <f>SUM(C17:C19)</f>
        <v>75.630252100840352</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15.277310924369752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71004</v>
      </c>
      <c r="C28" s="741">
        <v>3583</v>
      </c>
      <c r="D28" s="630"/>
      <c r="E28" s="629"/>
      <c r="F28" s="629"/>
      <c r="G28" s="629" t="s">
        <v>908</v>
      </c>
      <c r="H28" s="629" t="s">
        <v>909</v>
      </c>
      <c r="I28" s="629"/>
      <c r="J28" s="740"/>
      <c r="K28" s="740"/>
      <c r="L28" s="629" t="s">
        <v>910</v>
      </c>
      <c r="M28" s="629">
        <v>10</v>
      </c>
      <c r="N28" s="629">
        <v>45</v>
      </c>
      <c r="O28" s="629">
        <v>64.285714285714292</v>
      </c>
      <c r="P28" s="629">
        <v>128.57142857142858</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10</v>
      </c>
      <c r="N29" s="587">
        <f>SUM(N28:N28)</f>
        <v>45</v>
      </c>
      <c r="O29" s="587">
        <f>SUM(O28:O28)</f>
        <v>64.285714285714292</v>
      </c>
      <c r="P29" s="587">
        <f>SUM(P28:P28)</f>
        <v>128.57142857142858</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10</v>
      </c>
      <c r="N31" s="587">
        <f ca="1">SUMIF($AA$28:AE28,"tertiair",N28:N28)</f>
        <v>45</v>
      </c>
      <c r="O31" s="587">
        <f ca="1">SUMIF($AA$28:AF28,"tertiair",O28:O28)</f>
        <v>64.285714285714292</v>
      </c>
      <c r="P31" s="587">
        <f ca="1">SUMIF($AA$28:AG28,"tertiair",P28:P28)</f>
        <v>128.57142857142858</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52.941176470588239</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75.630252100840352</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44716.033000000003</v>
      </c>
      <c r="D10" s="640">
        <f ca="1">tertiair!C16</f>
        <v>64.285714285714292</v>
      </c>
      <c r="E10" s="640">
        <f ca="1">tertiair!D16</f>
        <v>24848.197333428572</v>
      </c>
      <c r="F10" s="640">
        <f>tertiair!E16</f>
        <v>238.37854440387338</v>
      </c>
      <c r="G10" s="640">
        <f ca="1">tertiair!F16</f>
        <v>5437.8625044076462</v>
      </c>
      <c r="H10" s="640">
        <f>tertiair!G16</f>
        <v>0</v>
      </c>
      <c r="I10" s="640">
        <f>tertiair!H16</f>
        <v>0</v>
      </c>
      <c r="J10" s="640">
        <f>tertiair!I16</f>
        <v>0</v>
      </c>
      <c r="K10" s="640">
        <f>tertiair!J16</f>
        <v>126.68378349530985</v>
      </c>
      <c r="L10" s="640">
        <f>tertiair!K16</f>
        <v>0</v>
      </c>
      <c r="M10" s="640">
        <f ca="1">tertiair!L16</f>
        <v>0</v>
      </c>
      <c r="N10" s="640">
        <f>tertiair!M16</f>
        <v>0</v>
      </c>
      <c r="O10" s="640">
        <f ca="1">tertiair!N16</f>
        <v>3313.4630992338821</v>
      </c>
      <c r="P10" s="640">
        <f>tertiair!O16</f>
        <v>4.6900000000000004</v>
      </c>
      <c r="Q10" s="641">
        <f>tertiair!P16</f>
        <v>57.2</v>
      </c>
      <c r="R10" s="643">
        <f ca="1">SUM(C10:Q10)</f>
        <v>78806.793979255002</v>
      </c>
      <c r="S10" s="67"/>
    </row>
    <row r="11" spans="1:19" s="444" customFormat="1">
      <c r="A11" s="754" t="s">
        <v>214</v>
      </c>
      <c r="B11" s="759"/>
      <c r="C11" s="640">
        <f>huishoudens!B8</f>
        <v>74852.023163638863</v>
      </c>
      <c r="D11" s="640">
        <f>huishoudens!C8</f>
        <v>0</v>
      </c>
      <c r="E11" s="640">
        <f>huishoudens!D8</f>
        <v>124250.484666</v>
      </c>
      <c r="F11" s="640">
        <f>huishoudens!E8</f>
        <v>5176.3595888900045</v>
      </c>
      <c r="G11" s="640">
        <f>huishoudens!F8</f>
        <v>158631.98675965474</v>
      </c>
      <c r="H11" s="640">
        <f>huishoudens!G8</f>
        <v>0</v>
      </c>
      <c r="I11" s="640">
        <f>huishoudens!H8</f>
        <v>0</v>
      </c>
      <c r="J11" s="640">
        <f>huishoudens!I8</f>
        <v>0</v>
      </c>
      <c r="K11" s="640">
        <f>huishoudens!J8</f>
        <v>3004.1739652788515</v>
      </c>
      <c r="L11" s="640">
        <f>huishoudens!K8</f>
        <v>0</v>
      </c>
      <c r="M11" s="640">
        <f>huishoudens!L8</f>
        <v>0</v>
      </c>
      <c r="N11" s="640">
        <f>huishoudens!M8</f>
        <v>0</v>
      </c>
      <c r="O11" s="640">
        <f>huishoudens!N8</f>
        <v>27550.177904061395</v>
      </c>
      <c r="P11" s="640">
        <f>huishoudens!O8</f>
        <v>773.85</v>
      </c>
      <c r="Q11" s="641">
        <f>huishoudens!P8</f>
        <v>1201.2</v>
      </c>
      <c r="R11" s="643">
        <f>SUM(C11:Q11)</f>
        <v>395440.25604752381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38606.417000000009</v>
      </c>
      <c r="D13" s="640">
        <f>industrie!C18</f>
        <v>0</v>
      </c>
      <c r="E13" s="640">
        <f>industrie!D18</f>
        <v>34971.347289999998</v>
      </c>
      <c r="F13" s="640">
        <f>industrie!E18</f>
        <v>1933.2086695795754</v>
      </c>
      <c r="G13" s="640">
        <f>industrie!F18</f>
        <v>15856.930471335625</v>
      </c>
      <c r="H13" s="640">
        <f>industrie!G18</f>
        <v>0</v>
      </c>
      <c r="I13" s="640">
        <f>industrie!H18</f>
        <v>0</v>
      </c>
      <c r="J13" s="640">
        <f>industrie!I18</f>
        <v>0</v>
      </c>
      <c r="K13" s="640">
        <f>industrie!J18</f>
        <v>7.1313096358335919</v>
      </c>
      <c r="L13" s="640">
        <f>industrie!K18</f>
        <v>0</v>
      </c>
      <c r="M13" s="640">
        <f>industrie!L18</f>
        <v>0</v>
      </c>
      <c r="N13" s="640">
        <f>industrie!M18</f>
        <v>0</v>
      </c>
      <c r="O13" s="640">
        <f>industrie!N18</f>
        <v>5761.34283813411</v>
      </c>
      <c r="P13" s="640">
        <f>industrie!O18</f>
        <v>0</v>
      </c>
      <c r="Q13" s="641">
        <f>industrie!P18</f>
        <v>0</v>
      </c>
      <c r="R13" s="643">
        <f>SUM(C13:Q13)</f>
        <v>97136.377578685147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158174.47316363888</v>
      </c>
      <c r="D16" s="675">
        <f t="shared" ref="D16:R16" ca="1" si="0">SUM(D9:D15)</f>
        <v>64.285714285714292</v>
      </c>
      <c r="E16" s="675">
        <f t="shared" ca="1" si="0"/>
        <v>184070.02928942858</v>
      </c>
      <c r="F16" s="675">
        <f t="shared" si="0"/>
        <v>7347.9468028734527</v>
      </c>
      <c r="G16" s="675">
        <f t="shared" ca="1" si="0"/>
        <v>179926.77973539801</v>
      </c>
      <c r="H16" s="675">
        <f t="shared" si="0"/>
        <v>0</v>
      </c>
      <c r="I16" s="675">
        <f t="shared" si="0"/>
        <v>0</v>
      </c>
      <c r="J16" s="675">
        <f t="shared" si="0"/>
        <v>0</v>
      </c>
      <c r="K16" s="675">
        <f t="shared" si="0"/>
        <v>3137.9890584099949</v>
      </c>
      <c r="L16" s="675">
        <f t="shared" si="0"/>
        <v>0</v>
      </c>
      <c r="M16" s="675">
        <f t="shared" ca="1" si="0"/>
        <v>0</v>
      </c>
      <c r="N16" s="675">
        <f t="shared" si="0"/>
        <v>0</v>
      </c>
      <c r="O16" s="675">
        <f t="shared" ca="1" si="0"/>
        <v>36624.983841429384</v>
      </c>
      <c r="P16" s="675">
        <f t="shared" si="0"/>
        <v>778.54000000000008</v>
      </c>
      <c r="Q16" s="675">
        <f t="shared" si="0"/>
        <v>1258.4000000000001</v>
      </c>
      <c r="R16" s="675">
        <f t="shared" ca="1" si="0"/>
        <v>571383.42760546401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18.363176003169134</v>
      </c>
      <c r="D19" s="640">
        <f>transport!C54</f>
        <v>0</v>
      </c>
      <c r="E19" s="640">
        <f>transport!D54</f>
        <v>0</v>
      </c>
      <c r="F19" s="640">
        <f>transport!E54</f>
        <v>0</v>
      </c>
      <c r="G19" s="640">
        <f>transport!F54</f>
        <v>0</v>
      </c>
      <c r="H19" s="640">
        <f>transport!G54</f>
        <v>3574.2883029496847</v>
      </c>
      <c r="I19" s="640">
        <f>transport!H54</f>
        <v>0</v>
      </c>
      <c r="J19" s="640">
        <f>transport!I54</f>
        <v>0</v>
      </c>
      <c r="K19" s="640">
        <f>transport!J54</f>
        <v>0</v>
      </c>
      <c r="L19" s="640">
        <f>transport!K54</f>
        <v>0</v>
      </c>
      <c r="M19" s="640">
        <f>transport!L54</f>
        <v>0</v>
      </c>
      <c r="N19" s="640">
        <f>transport!M54</f>
        <v>160.27409085477589</v>
      </c>
      <c r="O19" s="640">
        <f>transport!N54</f>
        <v>0</v>
      </c>
      <c r="P19" s="640">
        <f>transport!O54</f>
        <v>0</v>
      </c>
      <c r="Q19" s="641">
        <f>transport!P54</f>
        <v>0</v>
      </c>
      <c r="R19" s="643">
        <f>SUM(C19:Q19)</f>
        <v>3752.9255698076295</v>
      </c>
      <c r="S19" s="67"/>
    </row>
    <row r="20" spans="1:19" s="444" customFormat="1">
      <c r="A20" s="754" t="s">
        <v>296</v>
      </c>
      <c r="B20" s="759"/>
      <c r="C20" s="640">
        <f>transport!B14</f>
        <v>20.143158765885577</v>
      </c>
      <c r="D20" s="640">
        <f>transport!C14</f>
        <v>0</v>
      </c>
      <c r="E20" s="640">
        <f>transport!D14</f>
        <v>20.402808403926375</v>
      </c>
      <c r="F20" s="640">
        <f>transport!E14</f>
        <v>764.38248786239785</v>
      </c>
      <c r="G20" s="640">
        <f>transport!F14</f>
        <v>0</v>
      </c>
      <c r="H20" s="640">
        <f>transport!G14</f>
        <v>205332.75475144142</v>
      </c>
      <c r="I20" s="640">
        <f>transport!H14</f>
        <v>37460.371929039989</v>
      </c>
      <c r="J20" s="640">
        <f>transport!I14</f>
        <v>0</v>
      </c>
      <c r="K20" s="640">
        <f>transport!J14</f>
        <v>0</v>
      </c>
      <c r="L20" s="640">
        <f>transport!K14</f>
        <v>0</v>
      </c>
      <c r="M20" s="640">
        <f>transport!L14</f>
        <v>0</v>
      </c>
      <c r="N20" s="640">
        <f>transport!M14</f>
        <v>10978.606096417509</v>
      </c>
      <c r="O20" s="640">
        <f>transport!N14</f>
        <v>0</v>
      </c>
      <c r="P20" s="640">
        <f>transport!O14</f>
        <v>0</v>
      </c>
      <c r="Q20" s="641">
        <f>transport!P14</f>
        <v>0</v>
      </c>
      <c r="R20" s="643">
        <f>SUM(C20:Q20)</f>
        <v>254576.6612319311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38.50633476905471</v>
      </c>
      <c r="D22" s="757">
        <f t="shared" ref="D22:R22" si="1">SUM(D18:D21)</f>
        <v>0</v>
      </c>
      <c r="E22" s="757">
        <f t="shared" si="1"/>
        <v>20.402808403926375</v>
      </c>
      <c r="F22" s="757">
        <f t="shared" si="1"/>
        <v>764.38248786239785</v>
      </c>
      <c r="G22" s="757">
        <f t="shared" si="1"/>
        <v>0</v>
      </c>
      <c r="H22" s="757">
        <f t="shared" si="1"/>
        <v>208907.04305439111</v>
      </c>
      <c r="I22" s="757">
        <f t="shared" si="1"/>
        <v>37460.371929039989</v>
      </c>
      <c r="J22" s="757">
        <f t="shared" si="1"/>
        <v>0</v>
      </c>
      <c r="K22" s="757">
        <f t="shared" si="1"/>
        <v>0</v>
      </c>
      <c r="L22" s="757">
        <f t="shared" si="1"/>
        <v>0</v>
      </c>
      <c r="M22" s="757">
        <f t="shared" si="1"/>
        <v>0</v>
      </c>
      <c r="N22" s="757">
        <f t="shared" si="1"/>
        <v>11138.880187272285</v>
      </c>
      <c r="O22" s="757">
        <f t="shared" si="1"/>
        <v>0</v>
      </c>
      <c r="P22" s="757">
        <f t="shared" si="1"/>
        <v>0</v>
      </c>
      <c r="Q22" s="757">
        <f t="shared" si="1"/>
        <v>0</v>
      </c>
      <c r="R22" s="757">
        <f t="shared" si="1"/>
        <v>258329.58680173871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689.71199999999999</v>
      </c>
      <c r="D24" s="640">
        <f>+landbouw!C8</f>
        <v>0</v>
      </c>
      <c r="E24" s="640">
        <f>+landbouw!D8</f>
        <v>503.86622</v>
      </c>
      <c r="F24" s="640">
        <f>+landbouw!E8</f>
        <v>14.321669771431464</v>
      </c>
      <c r="G24" s="640">
        <f>+landbouw!F8</f>
        <v>2437.4598074357068</v>
      </c>
      <c r="H24" s="640">
        <f>+landbouw!G8</f>
        <v>0</v>
      </c>
      <c r="I24" s="640">
        <f>+landbouw!H8</f>
        <v>0</v>
      </c>
      <c r="J24" s="640">
        <f>+landbouw!I8</f>
        <v>0</v>
      </c>
      <c r="K24" s="640">
        <f>+landbouw!J8</f>
        <v>79.105604088625981</v>
      </c>
      <c r="L24" s="640">
        <f>+landbouw!K8</f>
        <v>0</v>
      </c>
      <c r="M24" s="640">
        <f>+landbouw!L8</f>
        <v>0</v>
      </c>
      <c r="N24" s="640">
        <f>+landbouw!M8</f>
        <v>0</v>
      </c>
      <c r="O24" s="640">
        <f>+landbouw!N8</f>
        <v>0</v>
      </c>
      <c r="P24" s="640">
        <f>+landbouw!O8</f>
        <v>0</v>
      </c>
      <c r="Q24" s="641">
        <f>+landbouw!P8</f>
        <v>0</v>
      </c>
      <c r="R24" s="643">
        <f>SUM(C24:Q24)</f>
        <v>3724.4653012957642</v>
      </c>
      <c r="S24" s="67"/>
    </row>
    <row r="25" spans="1:19" s="444" customFormat="1" ht="15" thickBot="1">
      <c r="A25" s="776" t="s">
        <v>806</v>
      </c>
      <c r="B25" s="939"/>
      <c r="C25" s="940">
        <f>IF(Onbekend_ele_kWh="---",0,Onbekend_ele_kWh)/1000+IF(REST_rest_ele_kWh="---",0,REST_rest_ele_kWh)/1000</f>
        <v>1877.788</v>
      </c>
      <c r="D25" s="940"/>
      <c r="E25" s="940">
        <f>IF(onbekend_gas_kWh="---",0,onbekend_gas_kWh)/1000+IF(REST_rest_gas_kWh="---",0,REST_rest_gas_kWh)/1000</f>
        <v>13237.264999999999</v>
      </c>
      <c r="F25" s="940"/>
      <c r="G25" s="940"/>
      <c r="H25" s="940"/>
      <c r="I25" s="940"/>
      <c r="J25" s="940"/>
      <c r="K25" s="940"/>
      <c r="L25" s="940"/>
      <c r="M25" s="940"/>
      <c r="N25" s="940"/>
      <c r="O25" s="940"/>
      <c r="P25" s="940"/>
      <c r="Q25" s="941"/>
      <c r="R25" s="643">
        <f>SUM(C25:Q25)</f>
        <v>15115.053</v>
      </c>
      <c r="S25" s="67"/>
    </row>
    <row r="26" spans="1:19" s="444" customFormat="1" ht="15.75" thickBot="1">
      <c r="A26" s="648" t="s">
        <v>807</v>
      </c>
      <c r="B26" s="762"/>
      <c r="C26" s="757">
        <f>SUM(C24:C25)</f>
        <v>2567.5</v>
      </c>
      <c r="D26" s="757">
        <f t="shared" ref="D26:R26" si="2">SUM(D24:D25)</f>
        <v>0</v>
      </c>
      <c r="E26" s="757">
        <f t="shared" si="2"/>
        <v>13741.131219999999</v>
      </c>
      <c r="F26" s="757">
        <f t="shared" si="2"/>
        <v>14.321669771431464</v>
      </c>
      <c r="G26" s="757">
        <f t="shared" si="2"/>
        <v>2437.4598074357068</v>
      </c>
      <c r="H26" s="757">
        <f t="shared" si="2"/>
        <v>0</v>
      </c>
      <c r="I26" s="757">
        <f t="shared" si="2"/>
        <v>0</v>
      </c>
      <c r="J26" s="757">
        <f t="shared" si="2"/>
        <v>0</v>
      </c>
      <c r="K26" s="757">
        <f t="shared" si="2"/>
        <v>79.105604088625981</v>
      </c>
      <c r="L26" s="757">
        <f t="shared" si="2"/>
        <v>0</v>
      </c>
      <c r="M26" s="757">
        <f t="shared" si="2"/>
        <v>0</v>
      </c>
      <c r="N26" s="757">
        <f t="shared" si="2"/>
        <v>0</v>
      </c>
      <c r="O26" s="757">
        <f t="shared" si="2"/>
        <v>0</v>
      </c>
      <c r="P26" s="757">
        <f t="shared" si="2"/>
        <v>0</v>
      </c>
      <c r="Q26" s="757">
        <f t="shared" si="2"/>
        <v>0</v>
      </c>
      <c r="R26" s="757">
        <f t="shared" si="2"/>
        <v>18839.518301295764</v>
      </c>
      <c r="S26" s="67"/>
    </row>
    <row r="27" spans="1:19" s="444" customFormat="1" ht="17.25" thickTop="1" thickBot="1">
      <c r="A27" s="649" t="s">
        <v>109</v>
      </c>
      <c r="B27" s="749"/>
      <c r="C27" s="650">
        <f ca="1">C22+C16+C26</f>
        <v>160780.47949840792</v>
      </c>
      <c r="D27" s="650">
        <f t="shared" ref="D27:R27" ca="1" si="3">D22+D16+D26</f>
        <v>64.285714285714292</v>
      </c>
      <c r="E27" s="650">
        <f t="shared" ca="1" si="3"/>
        <v>197831.56331783251</v>
      </c>
      <c r="F27" s="650">
        <f t="shared" si="3"/>
        <v>8126.6509605072824</v>
      </c>
      <c r="G27" s="650">
        <f t="shared" ca="1" si="3"/>
        <v>182364.23954283373</v>
      </c>
      <c r="H27" s="650">
        <f t="shared" si="3"/>
        <v>208907.04305439111</v>
      </c>
      <c r="I27" s="650">
        <f t="shared" si="3"/>
        <v>37460.371929039989</v>
      </c>
      <c r="J27" s="650">
        <f t="shared" si="3"/>
        <v>0</v>
      </c>
      <c r="K27" s="650">
        <f t="shared" si="3"/>
        <v>3217.0946624986209</v>
      </c>
      <c r="L27" s="650">
        <f t="shared" si="3"/>
        <v>0</v>
      </c>
      <c r="M27" s="650">
        <f t="shared" ca="1" si="3"/>
        <v>0</v>
      </c>
      <c r="N27" s="650">
        <f t="shared" si="3"/>
        <v>11138.880187272285</v>
      </c>
      <c r="O27" s="650">
        <f t="shared" ca="1" si="3"/>
        <v>36624.983841429384</v>
      </c>
      <c r="P27" s="650">
        <f t="shared" si="3"/>
        <v>778.54000000000008</v>
      </c>
      <c r="Q27" s="650">
        <f t="shared" si="3"/>
        <v>1258.4000000000001</v>
      </c>
      <c r="R27" s="650">
        <f t="shared" ca="1" si="3"/>
        <v>848552.53270849853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7656.362417803376</v>
      </c>
      <c r="D40" s="640">
        <f ca="1">tertiair!C20</f>
        <v>15.277310924369752</v>
      </c>
      <c r="E40" s="640">
        <f ca="1">tertiair!D20</f>
        <v>5019.3358613525716</v>
      </c>
      <c r="F40" s="640">
        <f>tertiair!E20</f>
        <v>54.111929579679256</v>
      </c>
      <c r="G40" s="640">
        <f ca="1">tertiair!F20</f>
        <v>1451.9092886768417</v>
      </c>
      <c r="H40" s="640">
        <f>tertiair!G20</f>
        <v>0</v>
      </c>
      <c r="I40" s="640">
        <f>tertiair!H20</f>
        <v>0</v>
      </c>
      <c r="J40" s="640">
        <f>tertiair!I20</f>
        <v>0</v>
      </c>
      <c r="K40" s="640">
        <f>tertiair!J20</f>
        <v>44.846059357339684</v>
      </c>
      <c r="L40" s="640">
        <f>tertiair!K20</f>
        <v>0</v>
      </c>
      <c r="M40" s="640">
        <f ca="1">tertiair!L20</f>
        <v>0</v>
      </c>
      <c r="N40" s="640">
        <f>tertiair!M20</f>
        <v>0</v>
      </c>
      <c r="O40" s="640">
        <f ca="1">tertiair!N20</f>
        <v>0</v>
      </c>
      <c r="P40" s="640">
        <f>tertiair!O20</f>
        <v>0</v>
      </c>
      <c r="Q40" s="717">
        <f>tertiair!P20</f>
        <v>0</v>
      </c>
      <c r="R40" s="795">
        <f t="shared" ca="1" si="4"/>
        <v>14241.842867694178</v>
      </c>
    </row>
    <row r="41" spans="1:18">
      <c r="A41" s="767" t="s">
        <v>214</v>
      </c>
      <c r="B41" s="774"/>
      <c r="C41" s="640">
        <f ca="1">huishoudens!B12</f>
        <v>12816.30275759552</v>
      </c>
      <c r="D41" s="640">
        <f ca="1">huishoudens!C12</f>
        <v>0</v>
      </c>
      <c r="E41" s="640">
        <f>huishoudens!D12</f>
        <v>25098.597902532001</v>
      </c>
      <c r="F41" s="640">
        <f>huishoudens!E12</f>
        <v>1175.0336266780312</v>
      </c>
      <c r="G41" s="640">
        <f>huishoudens!F12</f>
        <v>42354.740464827817</v>
      </c>
      <c r="H41" s="640">
        <f>huishoudens!G12</f>
        <v>0</v>
      </c>
      <c r="I41" s="640">
        <f>huishoudens!H12</f>
        <v>0</v>
      </c>
      <c r="J41" s="640">
        <f>huishoudens!I12</f>
        <v>0</v>
      </c>
      <c r="K41" s="640">
        <f>huishoudens!J12</f>
        <v>1063.4775837087134</v>
      </c>
      <c r="L41" s="640">
        <f>huishoudens!K12</f>
        <v>0</v>
      </c>
      <c r="M41" s="640">
        <f>huishoudens!L12</f>
        <v>0</v>
      </c>
      <c r="N41" s="640">
        <f>huishoudens!M12</f>
        <v>0</v>
      </c>
      <c r="O41" s="640">
        <f>huishoudens!N12</f>
        <v>0</v>
      </c>
      <c r="P41" s="640">
        <f>huishoudens!O12</f>
        <v>0</v>
      </c>
      <c r="Q41" s="717">
        <f>huishoudens!P12</f>
        <v>0</v>
      </c>
      <c r="R41" s="795">
        <f t="shared" ca="1" si="4"/>
        <v>82508.152335342078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6610.2625920516111</v>
      </c>
      <c r="D43" s="640">
        <f ca="1">industrie!C22</f>
        <v>0</v>
      </c>
      <c r="E43" s="640">
        <f>industrie!D22</f>
        <v>7064.2121525800003</v>
      </c>
      <c r="F43" s="640">
        <f>industrie!E22</f>
        <v>438.83836799456361</v>
      </c>
      <c r="G43" s="640">
        <f>industrie!F22</f>
        <v>4233.8004358466123</v>
      </c>
      <c r="H43" s="640">
        <f>industrie!G22</f>
        <v>0</v>
      </c>
      <c r="I43" s="640">
        <f>industrie!H22</f>
        <v>0</v>
      </c>
      <c r="J43" s="640">
        <f>industrie!I22</f>
        <v>0</v>
      </c>
      <c r="K43" s="640">
        <f>industrie!J22</f>
        <v>2.5244836110850915</v>
      </c>
      <c r="L43" s="640">
        <f>industrie!K22</f>
        <v>0</v>
      </c>
      <c r="M43" s="640">
        <f>industrie!L22</f>
        <v>0</v>
      </c>
      <c r="N43" s="640">
        <f>industrie!M22</f>
        <v>0</v>
      </c>
      <c r="O43" s="640">
        <f>industrie!N22</f>
        <v>0</v>
      </c>
      <c r="P43" s="640">
        <f>industrie!O22</f>
        <v>0</v>
      </c>
      <c r="Q43" s="717">
        <f>industrie!P22</f>
        <v>0</v>
      </c>
      <c r="R43" s="794">
        <f t="shared" ca="1" si="4"/>
        <v>18349.638032083873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27082.927767450507</v>
      </c>
      <c r="D46" s="675">
        <f t="shared" ref="D46:Q46" ca="1" si="5">SUM(D39:D45)</f>
        <v>15.277310924369752</v>
      </c>
      <c r="E46" s="675">
        <f t="shared" ca="1" si="5"/>
        <v>37182.145916464571</v>
      </c>
      <c r="F46" s="675">
        <f t="shared" si="5"/>
        <v>1667.9839242522742</v>
      </c>
      <c r="G46" s="675">
        <f t="shared" ca="1" si="5"/>
        <v>48040.450189351272</v>
      </c>
      <c r="H46" s="675">
        <f t="shared" si="5"/>
        <v>0</v>
      </c>
      <c r="I46" s="675">
        <f t="shared" si="5"/>
        <v>0</v>
      </c>
      <c r="J46" s="675">
        <f t="shared" si="5"/>
        <v>0</v>
      </c>
      <c r="K46" s="675">
        <f t="shared" si="5"/>
        <v>1110.8481266771382</v>
      </c>
      <c r="L46" s="675">
        <f t="shared" si="5"/>
        <v>0</v>
      </c>
      <c r="M46" s="675">
        <f t="shared" ca="1" si="5"/>
        <v>0</v>
      </c>
      <c r="N46" s="675">
        <f t="shared" si="5"/>
        <v>0</v>
      </c>
      <c r="O46" s="675">
        <f t="shared" ca="1" si="5"/>
        <v>0</v>
      </c>
      <c r="P46" s="675">
        <f t="shared" si="5"/>
        <v>0</v>
      </c>
      <c r="Q46" s="675">
        <f t="shared" si="5"/>
        <v>0</v>
      </c>
      <c r="R46" s="675">
        <f ca="1">SUM(R39:R45)</f>
        <v>115099.63323512013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3.1441771818661319</v>
      </c>
      <c r="D49" s="640">
        <f ca="1">transport!C58</f>
        <v>0</v>
      </c>
      <c r="E49" s="640">
        <f>transport!D58</f>
        <v>0</v>
      </c>
      <c r="F49" s="640">
        <f>transport!E58</f>
        <v>0</v>
      </c>
      <c r="G49" s="640">
        <f>transport!F58</f>
        <v>0</v>
      </c>
      <c r="H49" s="640">
        <f>transport!G58</f>
        <v>954.33497688756586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957.47915406943196</v>
      </c>
    </row>
    <row r="50" spans="1:18">
      <c r="A50" s="770" t="s">
        <v>296</v>
      </c>
      <c r="B50" s="780"/>
      <c r="C50" s="646">
        <f ca="1">transport!B18</f>
        <v>3.4489491442805971</v>
      </c>
      <c r="D50" s="646">
        <f>transport!C18</f>
        <v>0</v>
      </c>
      <c r="E50" s="646">
        <f>transport!D18</f>
        <v>4.1213672975931281</v>
      </c>
      <c r="F50" s="646">
        <f>transport!E18</f>
        <v>173.51482474476433</v>
      </c>
      <c r="G50" s="646">
        <f>transport!F18</f>
        <v>0</v>
      </c>
      <c r="H50" s="646">
        <f>transport!G18</f>
        <v>54823.845518634858</v>
      </c>
      <c r="I50" s="646">
        <f>transport!H18</f>
        <v>9327.6326103309566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64332.563270152452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6.593126326146729</v>
      </c>
      <c r="D52" s="675">
        <f t="shared" ref="D52:Q52" ca="1" si="6">SUM(D48:D51)</f>
        <v>0</v>
      </c>
      <c r="E52" s="675">
        <f t="shared" si="6"/>
        <v>4.1213672975931281</v>
      </c>
      <c r="F52" s="675">
        <f t="shared" si="6"/>
        <v>173.51482474476433</v>
      </c>
      <c r="G52" s="675">
        <f t="shared" si="6"/>
        <v>0</v>
      </c>
      <c r="H52" s="675">
        <f t="shared" si="6"/>
        <v>55778.180495522422</v>
      </c>
      <c r="I52" s="675">
        <f t="shared" si="6"/>
        <v>9327.6326103309566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65290.042424221887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118.09377267227622</v>
      </c>
      <c r="D54" s="646">
        <f ca="1">+landbouw!C12</f>
        <v>0</v>
      </c>
      <c r="E54" s="646">
        <f>+landbouw!D12</f>
        <v>101.78097644</v>
      </c>
      <c r="F54" s="646">
        <f>+landbouw!E12</f>
        <v>3.2510190381149426</v>
      </c>
      <c r="G54" s="646">
        <f>+landbouw!F12</f>
        <v>650.80176858533378</v>
      </c>
      <c r="H54" s="646">
        <f>+landbouw!G12</f>
        <v>0</v>
      </c>
      <c r="I54" s="646">
        <f>+landbouw!H12</f>
        <v>0</v>
      </c>
      <c r="J54" s="646">
        <f>+landbouw!I12</f>
        <v>0</v>
      </c>
      <c r="K54" s="646">
        <f>+landbouw!J12</f>
        <v>28.003383847373595</v>
      </c>
      <c r="L54" s="646">
        <f>+landbouw!K12</f>
        <v>0</v>
      </c>
      <c r="M54" s="646">
        <f>+landbouw!L12</f>
        <v>0</v>
      </c>
      <c r="N54" s="646">
        <f>+landbouw!M12</f>
        <v>0</v>
      </c>
      <c r="O54" s="646">
        <f>+landbouw!N12</f>
        <v>0</v>
      </c>
      <c r="P54" s="646">
        <f>+landbouw!O12</f>
        <v>0</v>
      </c>
      <c r="Q54" s="647">
        <f>+landbouw!P12</f>
        <v>0</v>
      </c>
      <c r="R54" s="674">
        <f ca="1">SUM(C54:Q54)</f>
        <v>901.93092058309855</v>
      </c>
    </row>
    <row r="55" spans="1:18" ht="15" thickBot="1">
      <c r="A55" s="770" t="s">
        <v>806</v>
      </c>
      <c r="B55" s="780"/>
      <c r="C55" s="646">
        <f ca="1">C25*'EF ele_warmte'!B12</f>
        <v>321.51835722552056</v>
      </c>
      <c r="D55" s="646"/>
      <c r="E55" s="646">
        <f>E25*EF_CO2_aardgas</f>
        <v>2673.9275299999999</v>
      </c>
      <c r="F55" s="646"/>
      <c r="G55" s="646"/>
      <c r="H55" s="646"/>
      <c r="I55" s="646"/>
      <c r="J55" s="646"/>
      <c r="K55" s="646"/>
      <c r="L55" s="646"/>
      <c r="M55" s="646"/>
      <c r="N55" s="646"/>
      <c r="O55" s="646"/>
      <c r="P55" s="646"/>
      <c r="Q55" s="647"/>
      <c r="R55" s="674">
        <f ca="1">SUM(C55:Q55)</f>
        <v>2995.4458872255204</v>
      </c>
    </row>
    <row r="56" spans="1:18" ht="15.75" thickBot="1">
      <c r="A56" s="768" t="s">
        <v>807</v>
      </c>
      <c r="B56" s="781"/>
      <c r="C56" s="675">
        <f ca="1">SUM(C54:C55)</f>
        <v>439.61212989779676</v>
      </c>
      <c r="D56" s="675">
        <f t="shared" ref="D56:Q56" ca="1" si="7">SUM(D54:D55)</f>
        <v>0</v>
      </c>
      <c r="E56" s="675">
        <f t="shared" si="7"/>
        <v>2775.7085064399998</v>
      </c>
      <c r="F56" s="675">
        <f t="shared" si="7"/>
        <v>3.2510190381149426</v>
      </c>
      <c r="G56" s="675">
        <f t="shared" si="7"/>
        <v>650.80176858533378</v>
      </c>
      <c r="H56" s="675">
        <f t="shared" si="7"/>
        <v>0</v>
      </c>
      <c r="I56" s="675">
        <f t="shared" si="7"/>
        <v>0</v>
      </c>
      <c r="J56" s="675">
        <f t="shared" si="7"/>
        <v>0</v>
      </c>
      <c r="K56" s="675">
        <f t="shared" si="7"/>
        <v>28.003383847373595</v>
      </c>
      <c r="L56" s="675">
        <f t="shared" si="7"/>
        <v>0</v>
      </c>
      <c r="M56" s="675">
        <f t="shared" si="7"/>
        <v>0</v>
      </c>
      <c r="N56" s="675">
        <f t="shared" si="7"/>
        <v>0</v>
      </c>
      <c r="O56" s="675">
        <f t="shared" si="7"/>
        <v>0</v>
      </c>
      <c r="P56" s="675">
        <f t="shared" si="7"/>
        <v>0</v>
      </c>
      <c r="Q56" s="676">
        <f t="shared" si="7"/>
        <v>0</v>
      </c>
      <c r="R56" s="677">
        <f ca="1">SUM(R54:R55)</f>
        <v>3897.3768078086191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27529.133023674451</v>
      </c>
      <c r="D61" s="683">
        <f t="shared" ref="D61:Q61" ca="1" si="8">D46+D52+D56</f>
        <v>15.277310924369752</v>
      </c>
      <c r="E61" s="683">
        <f t="shared" ca="1" si="8"/>
        <v>39961.975790202167</v>
      </c>
      <c r="F61" s="683">
        <f t="shared" si="8"/>
        <v>1844.7497680351535</v>
      </c>
      <c r="G61" s="683">
        <f t="shared" ca="1" si="8"/>
        <v>48691.251957936605</v>
      </c>
      <c r="H61" s="683">
        <f t="shared" si="8"/>
        <v>55778.180495522422</v>
      </c>
      <c r="I61" s="683">
        <f t="shared" si="8"/>
        <v>9327.6326103309566</v>
      </c>
      <c r="J61" s="683">
        <f t="shared" si="8"/>
        <v>0</v>
      </c>
      <c r="K61" s="683">
        <f t="shared" si="8"/>
        <v>1138.8515105245119</v>
      </c>
      <c r="L61" s="683">
        <f t="shared" si="8"/>
        <v>0</v>
      </c>
      <c r="M61" s="683">
        <f t="shared" ca="1" si="8"/>
        <v>0</v>
      </c>
      <c r="N61" s="683">
        <f t="shared" si="8"/>
        <v>0</v>
      </c>
      <c r="O61" s="683">
        <f t="shared" ca="1" si="8"/>
        <v>0</v>
      </c>
      <c r="P61" s="683">
        <f t="shared" si="8"/>
        <v>0</v>
      </c>
      <c r="Q61" s="683">
        <f t="shared" si="8"/>
        <v>0</v>
      </c>
      <c r="R61" s="683">
        <f ca="1">R46+R52+R56</f>
        <v>184287.05246715064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0.17122186169339698</v>
      </c>
      <c r="D63" s="726">
        <f t="shared" ca="1" si="9"/>
        <v>0.23764705882352946</v>
      </c>
      <c r="E63" s="946">
        <f t="shared" ca="1" si="9"/>
        <v>0.20200000000000001</v>
      </c>
      <c r="F63" s="726">
        <f t="shared" si="9"/>
        <v>0.22700000000000004</v>
      </c>
      <c r="G63" s="726">
        <f t="shared" ca="1" si="9"/>
        <v>0.26700000000000002</v>
      </c>
      <c r="H63" s="726">
        <f t="shared" si="9"/>
        <v>0.26699999999999996</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19781.66144</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16435.994954211579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45</v>
      </c>
      <c r="D76" s="956">
        <f>'lokale energieproductie'!C8</f>
        <v>52.941176470588239</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10.694117647058825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36217.656394211575</v>
      </c>
      <c r="C78" s="698">
        <f>SUM(C72:C77)</f>
        <v>45</v>
      </c>
      <c r="D78" s="699">
        <f t="shared" ref="D78:H78" si="10">SUM(D76:D77)</f>
        <v>52.941176470588239</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10.694117647058825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64.285714285714292</v>
      </c>
      <c r="D87" s="720">
        <f>'lokale energieproductie'!C17</f>
        <v>75.630252100840352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15.277310924369752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64.285714285714292</v>
      </c>
      <c r="D90" s="698">
        <f t="shared" ref="D90:H90" si="12">SUM(D87:D89)</f>
        <v>75.630252100840352</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15.277310924369752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74852.023163638863</v>
      </c>
      <c r="C4" s="448">
        <f>huishoudens!C8</f>
        <v>0</v>
      </c>
      <c r="D4" s="448">
        <f>huishoudens!D8</f>
        <v>124250.484666</v>
      </c>
      <c r="E4" s="448">
        <f>huishoudens!E8</f>
        <v>5176.3595888900045</v>
      </c>
      <c r="F4" s="448">
        <f>huishoudens!F8</f>
        <v>158631.98675965474</v>
      </c>
      <c r="G4" s="448">
        <f>huishoudens!G8</f>
        <v>0</v>
      </c>
      <c r="H4" s="448">
        <f>huishoudens!H8</f>
        <v>0</v>
      </c>
      <c r="I4" s="448">
        <f>huishoudens!I8</f>
        <v>0</v>
      </c>
      <c r="J4" s="448">
        <f>huishoudens!J8</f>
        <v>3004.1739652788515</v>
      </c>
      <c r="K4" s="448">
        <f>huishoudens!K8</f>
        <v>0</v>
      </c>
      <c r="L4" s="448">
        <f>huishoudens!L8</f>
        <v>0</v>
      </c>
      <c r="M4" s="448">
        <f>huishoudens!M8</f>
        <v>0</v>
      </c>
      <c r="N4" s="448">
        <f>huishoudens!N8</f>
        <v>27550.177904061395</v>
      </c>
      <c r="O4" s="448">
        <f>huishoudens!O8</f>
        <v>773.85</v>
      </c>
      <c r="P4" s="449">
        <f>huishoudens!P8</f>
        <v>1201.2</v>
      </c>
      <c r="Q4" s="450">
        <f>SUM(B4:P4)</f>
        <v>395440.25604752381</v>
      </c>
    </row>
    <row r="5" spans="1:17">
      <c r="A5" s="447" t="s">
        <v>149</v>
      </c>
      <c r="B5" s="448">
        <f ca="1">tertiair!B16</f>
        <v>42752.972000000002</v>
      </c>
      <c r="C5" s="448">
        <f ca="1">tertiair!C16</f>
        <v>64.285714285714292</v>
      </c>
      <c r="D5" s="448">
        <f ca="1">tertiair!D16</f>
        <v>24848.197333428572</v>
      </c>
      <c r="E5" s="448">
        <f>tertiair!E16</f>
        <v>238.37854440387338</v>
      </c>
      <c r="F5" s="448">
        <f ca="1">tertiair!F16</f>
        <v>5437.8625044076462</v>
      </c>
      <c r="G5" s="448">
        <f>tertiair!G16</f>
        <v>0</v>
      </c>
      <c r="H5" s="448">
        <f>tertiair!H16</f>
        <v>0</v>
      </c>
      <c r="I5" s="448">
        <f>tertiair!I16</f>
        <v>0</v>
      </c>
      <c r="J5" s="448">
        <f>tertiair!J16</f>
        <v>126.68378349530985</v>
      </c>
      <c r="K5" s="448">
        <f>tertiair!K16</f>
        <v>0</v>
      </c>
      <c r="L5" s="448">
        <f ca="1">tertiair!L16</f>
        <v>0</v>
      </c>
      <c r="M5" s="448">
        <f>tertiair!M16</f>
        <v>0</v>
      </c>
      <c r="N5" s="448">
        <f ca="1">tertiair!N16</f>
        <v>3313.4630992338821</v>
      </c>
      <c r="O5" s="448">
        <f>tertiair!O16</f>
        <v>4.6900000000000004</v>
      </c>
      <c r="P5" s="449">
        <f>tertiair!P16</f>
        <v>57.2</v>
      </c>
      <c r="Q5" s="447">
        <f t="shared" ref="Q5:Q14" ca="1" si="0">SUM(B5:P5)</f>
        <v>76843.732979255001</v>
      </c>
    </row>
    <row r="6" spans="1:17">
      <c r="A6" s="447" t="s">
        <v>187</v>
      </c>
      <c r="B6" s="448">
        <f>'openbare verlichting'!B8</f>
        <v>1963.0609999999999</v>
      </c>
      <c r="C6" s="448"/>
      <c r="D6" s="448"/>
      <c r="E6" s="448"/>
      <c r="F6" s="448"/>
      <c r="G6" s="448"/>
      <c r="H6" s="448"/>
      <c r="I6" s="448"/>
      <c r="J6" s="448"/>
      <c r="K6" s="448"/>
      <c r="L6" s="448"/>
      <c r="M6" s="448"/>
      <c r="N6" s="448"/>
      <c r="O6" s="448"/>
      <c r="P6" s="449"/>
      <c r="Q6" s="447">
        <f t="shared" si="0"/>
        <v>1963.0609999999999</v>
      </c>
    </row>
    <row r="7" spans="1:17">
      <c r="A7" s="447" t="s">
        <v>105</v>
      </c>
      <c r="B7" s="448">
        <f>landbouw!B8</f>
        <v>689.71199999999999</v>
      </c>
      <c r="C7" s="448">
        <f>landbouw!C8</f>
        <v>0</v>
      </c>
      <c r="D7" s="448">
        <f>landbouw!D8</f>
        <v>503.86622</v>
      </c>
      <c r="E7" s="448">
        <f>landbouw!E8</f>
        <v>14.321669771431464</v>
      </c>
      <c r="F7" s="448">
        <f>landbouw!F8</f>
        <v>2437.4598074357068</v>
      </c>
      <c r="G7" s="448">
        <f>landbouw!G8</f>
        <v>0</v>
      </c>
      <c r="H7" s="448">
        <f>landbouw!H8</f>
        <v>0</v>
      </c>
      <c r="I7" s="448">
        <f>landbouw!I8</f>
        <v>0</v>
      </c>
      <c r="J7" s="448">
        <f>landbouw!J8</f>
        <v>79.105604088625981</v>
      </c>
      <c r="K7" s="448">
        <f>landbouw!K8</f>
        <v>0</v>
      </c>
      <c r="L7" s="448">
        <f>landbouw!L8</f>
        <v>0</v>
      </c>
      <c r="M7" s="448">
        <f>landbouw!M8</f>
        <v>0</v>
      </c>
      <c r="N7" s="448">
        <f>landbouw!N8</f>
        <v>0</v>
      </c>
      <c r="O7" s="448">
        <f>landbouw!O8</f>
        <v>0</v>
      </c>
      <c r="P7" s="449">
        <f>landbouw!P8</f>
        <v>0</v>
      </c>
      <c r="Q7" s="447">
        <f t="shared" si="0"/>
        <v>3724.4653012957642</v>
      </c>
    </row>
    <row r="8" spans="1:17">
      <c r="A8" s="447" t="s">
        <v>614</v>
      </c>
      <c r="B8" s="448">
        <f>industrie!B18</f>
        <v>38606.417000000009</v>
      </c>
      <c r="C8" s="448">
        <f>industrie!C18</f>
        <v>0</v>
      </c>
      <c r="D8" s="448">
        <f>industrie!D18</f>
        <v>34971.347289999998</v>
      </c>
      <c r="E8" s="448">
        <f>industrie!E18</f>
        <v>1933.2086695795754</v>
      </c>
      <c r="F8" s="448">
        <f>industrie!F18</f>
        <v>15856.930471335625</v>
      </c>
      <c r="G8" s="448">
        <f>industrie!G18</f>
        <v>0</v>
      </c>
      <c r="H8" s="448">
        <f>industrie!H18</f>
        <v>0</v>
      </c>
      <c r="I8" s="448">
        <f>industrie!I18</f>
        <v>0</v>
      </c>
      <c r="J8" s="448">
        <f>industrie!J18</f>
        <v>7.1313096358335919</v>
      </c>
      <c r="K8" s="448">
        <f>industrie!K18</f>
        <v>0</v>
      </c>
      <c r="L8" s="448">
        <f>industrie!L18</f>
        <v>0</v>
      </c>
      <c r="M8" s="448">
        <f>industrie!M18</f>
        <v>0</v>
      </c>
      <c r="N8" s="448">
        <f>industrie!N18</f>
        <v>5761.34283813411</v>
      </c>
      <c r="O8" s="448">
        <f>industrie!O18</f>
        <v>0</v>
      </c>
      <c r="P8" s="449">
        <f>industrie!P18</f>
        <v>0</v>
      </c>
      <c r="Q8" s="447">
        <f t="shared" si="0"/>
        <v>97136.377578685147</v>
      </c>
    </row>
    <row r="9" spans="1:17" s="453" customFormat="1">
      <c r="A9" s="451" t="s">
        <v>555</v>
      </c>
      <c r="B9" s="452">
        <f>transport!B14</f>
        <v>20.143158765885577</v>
      </c>
      <c r="C9" s="452">
        <f>transport!C14</f>
        <v>0</v>
      </c>
      <c r="D9" s="452">
        <f>transport!D14</f>
        <v>20.402808403926375</v>
      </c>
      <c r="E9" s="452">
        <f>transport!E14</f>
        <v>764.38248786239785</v>
      </c>
      <c r="F9" s="452">
        <f>transport!F14</f>
        <v>0</v>
      </c>
      <c r="G9" s="452">
        <f>transport!G14</f>
        <v>205332.75475144142</v>
      </c>
      <c r="H9" s="452">
        <f>transport!H14</f>
        <v>37460.371929039989</v>
      </c>
      <c r="I9" s="452">
        <f>transport!I14</f>
        <v>0</v>
      </c>
      <c r="J9" s="452">
        <f>transport!J14</f>
        <v>0</v>
      </c>
      <c r="K9" s="452">
        <f>transport!K14</f>
        <v>0</v>
      </c>
      <c r="L9" s="452">
        <f>transport!L14</f>
        <v>0</v>
      </c>
      <c r="M9" s="452">
        <f>transport!M14</f>
        <v>10978.606096417509</v>
      </c>
      <c r="N9" s="452">
        <f>transport!N14</f>
        <v>0</v>
      </c>
      <c r="O9" s="452">
        <f>transport!O14</f>
        <v>0</v>
      </c>
      <c r="P9" s="452">
        <f>transport!P14</f>
        <v>0</v>
      </c>
      <c r="Q9" s="451">
        <f>SUM(B9:P9)</f>
        <v>254576.6612319311</v>
      </c>
    </row>
    <row r="10" spans="1:17">
      <c r="A10" s="447" t="s">
        <v>545</v>
      </c>
      <c r="B10" s="448">
        <f>transport!B54</f>
        <v>18.363176003169134</v>
      </c>
      <c r="C10" s="448">
        <f>transport!C54</f>
        <v>0</v>
      </c>
      <c r="D10" s="448">
        <f>transport!D54</f>
        <v>0</v>
      </c>
      <c r="E10" s="448">
        <f>transport!E54</f>
        <v>0</v>
      </c>
      <c r="F10" s="448">
        <f>transport!F54</f>
        <v>0</v>
      </c>
      <c r="G10" s="448">
        <f>transport!G54</f>
        <v>3574.2883029496847</v>
      </c>
      <c r="H10" s="448">
        <f>transport!H54</f>
        <v>0</v>
      </c>
      <c r="I10" s="448">
        <f>transport!I54</f>
        <v>0</v>
      </c>
      <c r="J10" s="448">
        <f>transport!J54</f>
        <v>0</v>
      </c>
      <c r="K10" s="448">
        <f>transport!K54</f>
        <v>0</v>
      </c>
      <c r="L10" s="448">
        <f>transport!L54</f>
        <v>0</v>
      </c>
      <c r="M10" s="448">
        <f>transport!M54</f>
        <v>160.27409085477589</v>
      </c>
      <c r="N10" s="448">
        <f>transport!N54</f>
        <v>0</v>
      </c>
      <c r="O10" s="448">
        <f>transport!O54</f>
        <v>0</v>
      </c>
      <c r="P10" s="449">
        <f>transport!P54</f>
        <v>0</v>
      </c>
      <c r="Q10" s="447">
        <f t="shared" si="0"/>
        <v>3752.9255698076295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1877.788</v>
      </c>
      <c r="C14" s="455"/>
      <c r="D14" s="455">
        <f>'SEAP template'!E25</f>
        <v>13237.264999999999</v>
      </c>
      <c r="E14" s="455"/>
      <c r="F14" s="455"/>
      <c r="G14" s="455"/>
      <c r="H14" s="455"/>
      <c r="I14" s="455"/>
      <c r="J14" s="455"/>
      <c r="K14" s="455"/>
      <c r="L14" s="455"/>
      <c r="M14" s="455"/>
      <c r="N14" s="455"/>
      <c r="O14" s="455"/>
      <c r="P14" s="456"/>
      <c r="Q14" s="447">
        <f t="shared" si="0"/>
        <v>15115.053</v>
      </c>
    </row>
    <row r="15" spans="1:17" s="460" customFormat="1">
      <c r="A15" s="457" t="s">
        <v>549</v>
      </c>
      <c r="B15" s="458">
        <f ca="1">SUM(B4:B14)</f>
        <v>160780.47949840792</v>
      </c>
      <c r="C15" s="458">
        <f t="shared" ref="C15:Q15" ca="1" si="1">SUM(C4:C14)</f>
        <v>64.285714285714292</v>
      </c>
      <c r="D15" s="458">
        <f t="shared" ca="1" si="1"/>
        <v>197831.56331783248</v>
      </c>
      <c r="E15" s="458">
        <f t="shared" si="1"/>
        <v>8126.6509605072824</v>
      </c>
      <c r="F15" s="458">
        <f t="shared" ca="1" si="1"/>
        <v>182364.23954283373</v>
      </c>
      <c r="G15" s="458">
        <f t="shared" si="1"/>
        <v>208907.04305439111</v>
      </c>
      <c r="H15" s="458">
        <f t="shared" si="1"/>
        <v>37460.371929039989</v>
      </c>
      <c r="I15" s="458">
        <f t="shared" si="1"/>
        <v>0</v>
      </c>
      <c r="J15" s="458">
        <f t="shared" si="1"/>
        <v>3217.0946624986209</v>
      </c>
      <c r="K15" s="458">
        <f t="shared" si="1"/>
        <v>0</v>
      </c>
      <c r="L15" s="458">
        <f t="shared" ca="1" si="1"/>
        <v>0</v>
      </c>
      <c r="M15" s="458">
        <f t="shared" si="1"/>
        <v>11138.880187272285</v>
      </c>
      <c r="N15" s="458">
        <f t="shared" ca="1" si="1"/>
        <v>36624.983841429384</v>
      </c>
      <c r="O15" s="458">
        <f t="shared" si="1"/>
        <v>778.54000000000008</v>
      </c>
      <c r="P15" s="458">
        <f t="shared" si="1"/>
        <v>1258.4000000000001</v>
      </c>
      <c r="Q15" s="458">
        <f t="shared" ca="1" si="1"/>
        <v>848552.53270849842</v>
      </c>
    </row>
    <row r="17" spans="1:17">
      <c r="A17" s="461" t="s">
        <v>550</v>
      </c>
      <c r="B17" s="731">
        <f ca="1">huishoudens!B10</f>
        <v>0.17122186169339698</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12816.30275759552</v>
      </c>
      <c r="C22" s="448">
        <f t="shared" ref="C22:C32" ca="1" si="3">C4*$C$17</f>
        <v>0</v>
      </c>
      <c r="D22" s="448">
        <f t="shared" ref="D22:D32" si="4">D4*$D$17</f>
        <v>25098.597902532001</v>
      </c>
      <c r="E22" s="448">
        <f t="shared" ref="E22:E32" si="5">E4*$E$17</f>
        <v>1175.0336266780312</v>
      </c>
      <c r="F22" s="448">
        <f t="shared" ref="F22:F32" si="6">F4*$F$17</f>
        <v>42354.740464827817</v>
      </c>
      <c r="G22" s="448">
        <f t="shared" ref="G22:G32" si="7">G4*$G$17</f>
        <v>0</v>
      </c>
      <c r="H22" s="448">
        <f t="shared" ref="H22:H32" si="8">H4*$H$17</f>
        <v>0</v>
      </c>
      <c r="I22" s="448">
        <f t="shared" ref="I22:I32" si="9">I4*$I$17</f>
        <v>0</v>
      </c>
      <c r="J22" s="448">
        <f t="shared" ref="J22:J32" si="10">J4*$J$17</f>
        <v>1063.4775837087134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82508.152335342078</v>
      </c>
    </row>
    <row r="23" spans="1:17">
      <c r="A23" s="447" t="s">
        <v>149</v>
      </c>
      <c r="B23" s="448">
        <f t="shared" ca="1" si="2"/>
        <v>7320.2434587656744</v>
      </c>
      <c r="C23" s="448">
        <f t="shared" ca="1" si="3"/>
        <v>15.277310924369752</v>
      </c>
      <c r="D23" s="448">
        <f t="shared" ca="1" si="4"/>
        <v>5019.3358613525716</v>
      </c>
      <c r="E23" s="448">
        <f t="shared" si="5"/>
        <v>54.111929579679256</v>
      </c>
      <c r="F23" s="448">
        <f t="shared" ca="1" si="6"/>
        <v>1451.9092886768417</v>
      </c>
      <c r="G23" s="448">
        <f t="shared" si="7"/>
        <v>0</v>
      </c>
      <c r="H23" s="448">
        <f t="shared" si="8"/>
        <v>0</v>
      </c>
      <c r="I23" s="448">
        <f t="shared" si="9"/>
        <v>0</v>
      </c>
      <c r="J23" s="448">
        <f t="shared" si="10"/>
        <v>44.846059357339684</v>
      </c>
      <c r="K23" s="448">
        <f t="shared" si="11"/>
        <v>0</v>
      </c>
      <c r="L23" s="448">
        <f t="shared" ca="1" si="12"/>
        <v>0</v>
      </c>
      <c r="M23" s="448">
        <f t="shared" si="13"/>
        <v>0</v>
      </c>
      <c r="N23" s="448">
        <f t="shared" ca="1" si="14"/>
        <v>0</v>
      </c>
      <c r="O23" s="448">
        <f t="shared" si="15"/>
        <v>0</v>
      </c>
      <c r="P23" s="449">
        <f t="shared" si="16"/>
        <v>0</v>
      </c>
      <c r="Q23" s="447">
        <f t="shared" ref="Q23:Q32" ca="1" si="17">SUM(B23:P23)</f>
        <v>13905.723908656477</v>
      </c>
    </row>
    <row r="24" spans="1:17">
      <c r="A24" s="447" t="s">
        <v>187</v>
      </c>
      <c r="B24" s="448">
        <f t="shared" ca="1" si="2"/>
        <v>336.11895903770159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336.11895903770159</v>
      </c>
    </row>
    <row r="25" spans="1:17">
      <c r="A25" s="447" t="s">
        <v>105</v>
      </c>
      <c r="B25" s="448">
        <f t="shared" ca="1" si="2"/>
        <v>118.09377267227622</v>
      </c>
      <c r="C25" s="448">
        <f t="shared" ca="1" si="3"/>
        <v>0</v>
      </c>
      <c r="D25" s="448">
        <f t="shared" si="4"/>
        <v>101.78097644</v>
      </c>
      <c r="E25" s="448">
        <f t="shared" si="5"/>
        <v>3.2510190381149426</v>
      </c>
      <c r="F25" s="448">
        <f t="shared" si="6"/>
        <v>650.80176858533378</v>
      </c>
      <c r="G25" s="448">
        <f t="shared" si="7"/>
        <v>0</v>
      </c>
      <c r="H25" s="448">
        <f t="shared" si="8"/>
        <v>0</v>
      </c>
      <c r="I25" s="448">
        <f t="shared" si="9"/>
        <v>0</v>
      </c>
      <c r="J25" s="448">
        <f t="shared" si="10"/>
        <v>28.003383847373595</v>
      </c>
      <c r="K25" s="448">
        <f t="shared" si="11"/>
        <v>0</v>
      </c>
      <c r="L25" s="448">
        <f t="shared" si="12"/>
        <v>0</v>
      </c>
      <c r="M25" s="448">
        <f t="shared" si="13"/>
        <v>0</v>
      </c>
      <c r="N25" s="448">
        <f t="shared" si="14"/>
        <v>0</v>
      </c>
      <c r="O25" s="448">
        <f t="shared" si="15"/>
        <v>0</v>
      </c>
      <c r="P25" s="449">
        <f t="shared" si="16"/>
        <v>0</v>
      </c>
      <c r="Q25" s="447">
        <f t="shared" ca="1" si="17"/>
        <v>901.93092058309855</v>
      </c>
    </row>
    <row r="26" spans="1:17">
      <c r="A26" s="447" t="s">
        <v>614</v>
      </c>
      <c r="B26" s="448">
        <f t="shared" ca="1" si="2"/>
        <v>6610.2625920516111</v>
      </c>
      <c r="C26" s="448">
        <f t="shared" ca="1" si="3"/>
        <v>0</v>
      </c>
      <c r="D26" s="448">
        <f t="shared" si="4"/>
        <v>7064.2121525800003</v>
      </c>
      <c r="E26" s="448">
        <f t="shared" si="5"/>
        <v>438.83836799456361</v>
      </c>
      <c r="F26" s="448">
        <f t="shared" si="6"/>
        <v>4233.8004358466123</v>
      </c>
      <c r="G26" s="448">
        <f t="shared" si="7"/>
        <v>0</v>
      </c>
      <c r="H26" s="448">
        <f t="shared" si="8"/>
        <v>0</v>
      </c>
      <c r="I26" s="448">
        <f t="shared" si="9"/>
        <v>0</v>
      </c>
      <c r="J26" s="448">
        <f t="shared" si="10"/>
        <v>2.5244836110850915</v>
      </c>
      <c r="K26" s="448">
        <f t="shared" si="11"/>
        <v>0</v>
      </c>
      <c r="L26" s="448">
        <f t="shared" si="12"/>
        <v>0</v>
      </c>
      <c r="M26" s="448">
        <f t="shared" si="13"/>
        <v>0</v>
      </c>
      <c r="N26" s="448">
        <f t="shared" si="14"/>
        <v>0</v>
      </c>
      <c r="O26" s="448">
        <f t="shared" si="15"/>
        <v>0</v>
      </c>
      <c r="P26" s="449">
        <f t="shared" si="16"/>
        <v>0</v>
      </c>
      <c r="Q26" s="447">
        <f t="shared" ca="1" si="17"/>
        <v>18349.638032083873</v>
      </c>
    </row>
    <row r="27" spans="1:17" s="453" customFormat="1">
      <c r="A27" s="451" t="s">
        <v>555</v>
      </c>
      <c r="B27" s="725">
        <f t="shared" ca="1" si="2"/>
        <v>3.4489491442805971</v>
      </c>
      <c r="C27" s="452">
        <f t="shared" ca="1" si="3"/>
        <v>0</v>
      </c>
      <c r="D27" s="452">
        <f t="shared" si="4"/>
        <v>4.1213672975931281</v>
      </c>
      <c r="E27" s="452">
        <f t="shared" si="5"/>
        <v>173.51482474476433</v>
      </c>
      <c r="F27" s="452">
        <f t="shared" si="6"/>
        <v>0</v>
      </c>
      <c r="G27" s="452">
        <f t="shared" si="7"/>
        <v>54823.845518634858</v>
      </c>
      <c r="H27" s="452">
        <f t="shared" si="8"/>
        <v>9327.6326103309566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64332.563270152452</v>
      </c>
    </row>
    <row r="28" spans="1:17">
      <c r="A28" s="447" t="s">
        <v>545</v>
      </c>
      <c r="B28" s="448">
        <f t="shared" ca="1" si="2"/>
        <v>3.1441771818661319</v>
      </c>
      <c r="C28" s="448">
        <f t="shared" ca="1" si="3"/>
        <v>0</v>
      </c>
      <c r="D28" s="448">
        <f t="shared" si="4"/>
        <v>0</v>
      </c>
      <c r="E28" s="448">
        <f t="shared" si="5"/>
        <v>0</v>
      </c>
      <c r="F28" s="448">
        <f t="shared" si="6"/>
        <v>0</v>
      </c>
      <c r="G28" s="448">
        <f t="shared" si="7"/>
        <v>954.33497688756586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957.47915406943196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321.51835722552056</v>
      </c>
      <c r="C32" s="448">
        <f t="shared" ca="1" si="3"/>
        <v>0</v>
      </c>
      <c r="D32" s="448">
        <f t="shared" si="4"/>
        <v>2673.9275299999999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2995.4458872255204</v>
      </c>
    </row>
    <row r="33" spans="1:17" s="460" customFormat="1">
      <c r="A33" s="457" t="s">
        <v>549</v>
      </c>
      <c r="B33" s="458">
        <f ca="1">SUM(B22:B32)</f>
        <v>27529.133023674447</v>
      </c>
      <c r="C33" s="458">
        <f t="shared" ref="C33:Q33" ca="1" si="18">SUM(C22:C32)</f>
        <v>15.277310924369752</v>
      </c>
      <c r="D33" s="458">
        <f t="shared" ca="1" si="18"/>
        <v>39961.975790202167</v>
      </c>
      <c r="E33" s="458">
        <f t="shared" si="18"/>
        <v>1844.7497680351535</v>
      </c>
      <c r="F33" s="458">
        <f t="shared" ca="1" si="18"/>
        <v>48691.251957936605</v>
      </c>
      <c r="G33" s="458">
        <f t="shared" si="18"/>
        <v>55778.180495522422</v>
      </c>
      <c r="H33" s="458">
        <f t="shared" si="18"/>
        <v>9327.6326103309566</v>
      </c>
      <c r="I33" s="458">
        <f t="shared" si="18"/>
        <v>0</v>
      </c>
      <c r="J33" s="458">
        <f t="shared" si="18"/>
        <v>1138.8515105245119</v>
      </c>
      <c r="K33" s="458">
        <f t="shared" si="18"/>
        <v>0</v>
      </c>
      <c r="L33" s="458">
        <f t="shared" ca="1" si="18"/>
        <v>0</v>
      </c>
      <c r="M33" s="458">
        <f t="shared" si="18"/>
        <v>0</v>
      </c>
      <c r="N33" s="458">
        <f t="shared" ca="1" si="18"/>
        <v>0</v>
      </c>
      <c r="O33" s="458">
        <f t="shared" si="18"/>
        <v>0</v>
      </c>
      <c r="P33" s="458">
        <f t="shared" si="18"/>
        <v>0</v>
      </c>
      <c r="Q33" s="458">
        <f t="shared" ca="1" si="18"/>
        <v>184287.05246715067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19781.66144</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16435.994954211579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45</v>
      </c>
      <c r="D8" s="982">
        <f>'SEAP template'!D76</f>
        <v>52.941176470588239</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10.694117647058825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36217.656394211575</v>
      </c>
      <c r="C10" s="986">
        <f>SUM(C4:C9)</f>
        <v>45</v>
      </c>
      <c r="D10" s="986">
        <f t="shared" ref="D10:H10" si="0">SUM(D8:D9)</f>
        <v>52.941176470588239</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10.694117647058825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0.17122186169339698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64.285714285714292</v>
      </c>
      <c r="D17" s="983">
        <f>'SEAP template'!D87</f>
        <v>75.630252100840352</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15.277310924369752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64.285714285714292</v>
      </c>
      <c r="D20" s="986">
        <f t="shared" ref="D20:H20" si="2">SUM(D17:D19)</f>
        <v>75.630252100840352</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15.277310924369752</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0.17122186169339698</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2022-07-26T12:11:45Z</dcterms:modified>
</cp:coreProperties>
</file>