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1A749B0E-BCCB-4ECF-BE72-94CD5DDB354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<sst xmlns="http://schemas.openxmlformats.org/spreadsheetml/2006/main" count="2456" uniqueCount="911">
  <si>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</si>
  <si>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</si>
  <si>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</si>
  <si>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</si>
  <si>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</si>
  <si>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</si>
  <si>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</si>
  <si>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</si>
  <si>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</si>
  <si>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</si>
  <si>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</si>
  <si>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</si>
  <si>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</si>
  <si>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</si>
  <si>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</si>
  <si>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</si>
  <si>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</si>
  <si>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</si>
  <si>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</si>
  <si>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</si>
  <si>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</si>
  <si>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</si>
  <si>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</si>
  <si>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</si>
  <si>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</si>
  <si>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</si>
  <si>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</si>
  <si>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</si>
  <si>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</si>
  <si>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</si>
  <si>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</si>
  <si>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</si>
  <si>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</si>
  <si>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</si>
  <si>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</si>
  <si>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</si>
  <si>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</si>
  <si>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</si>
  <si>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</si>
  <si>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</si>
  <si>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</si>
  <si>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</si>
  <si>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</si>
  <si>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</si>
  <si>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</si>
  <si>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</si>
  <si>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</si>
  <si>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</si>
  <si>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</si>
  <si>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</si>
  <si>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</si>
  <si>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</si>
  <si>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</si>
  <si>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</si>
  <si>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</si>
  <si>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</si>
  <si>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</si>
  <si>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</si>
  <si>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</si>
  <si>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</si>
  <si>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</si>
  <si>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</si>
  <si>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</si>
  <si>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</si>
  <si>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</si>
  <si>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</si>
  <si>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</si>
  <si>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</si>
  <si>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</si>
  <si>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</si>
  <si>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</si>
  <si>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</si>
  <si>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</si>
  <si>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</si>
  <si>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</si>
  <si>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</si>
  <si>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</si>
  <si>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</si>
  <si>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</si>
  <si>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</si>
  <si>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</si>
  <si>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</si>
  <si>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</si>
  <si>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</si>
  <si>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</si>
  <si>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</si>
  <si>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</si>
  <si>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</si>
  <si>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</si>
  <si>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</si>
  <si>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</si>
  <si>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</si>
  <si>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</si>
  <si>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</si>
  <si>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</si>
  <si>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</si>
  <si>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</si>
  <si>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</si>
  <si>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</si>
  <si>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</si>
  <si>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</si>
  <si>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</si>
  <si>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</si>
  <si>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</si>
  <si>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</si>
  <si>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</si>
  <si>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</si>
  <si>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</si>
  <si>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</si>
  <si>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</si>
  <si>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</si>
  <si>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</si>
  <si>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</si>
  <si>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</si>
  <si>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</si>
  <si>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</si>
  <si>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</si>
  <si>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</si>
  <si>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</si>
  <si>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</si>
  <si>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</si>
  <si>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</si>
  <si>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</si>
  <si>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</si>
  <si>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</si>
  <si>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</si>
  <si>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</si>
  <si>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</si>
  <si>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</si>
  <si>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</si>
  <si>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</si>
  <si>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</si>
  <si>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</si>
  <si>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</si>
  <si>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</si>
  <si>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</si>
  <si>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</si>
  <si>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</si>
  <si>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</si>
  <si>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</si>
  <si>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</si>
  <si>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</si>
  <si>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</si>
  <si>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</si>
  <si>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</si>
  <si>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</si>
  <si>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</si>
  <si>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</si>
  <si>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</si>
  <si>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</si>
  <si>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</si>
  <si>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</si>
  <si>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</si>
  <si>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</si>
  <si>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</si>
  <si>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</si>
  <si>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</si>
  <si>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</si>
  <si>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</si>
  <si>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</si>
  <si>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</si>
  <si>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</si>
  <si>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</si>
  <si>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</si>
  <si>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</si>
  <si>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</si>
  <si>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</si>
  <si>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</si>
  <si>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</si>
  <si>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</si>
  <si>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</si>
  <si>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</si>
  <si>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</si>
  <si>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</si>
  <si>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</si>
  <si>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</si>
  <si>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</si>
  <si>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</si>
  <si>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</si>
  <si>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</si>
  <si>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</si>
  <si>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</si>
  <si>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</si>
  <si>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</si>
  <si>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</si>
  <si>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</si>
  <si>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</si>
  <si>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</si>
  <si>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</si>
  <si>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</si>
  <si>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</si>
  <si>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</si>
  <si>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</si>
  <si>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</si>
  <si>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</si>
  <si>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</si>
  <si>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</si>
  <si>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</si>
  <si>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</si>
  <si>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</si>
  <si>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</si>
  <si>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</si>
  <si>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</si>
  <si>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</si>
  <si>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</si>
  <si>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</si>
  <si>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</si>
  <si>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</si>
  <si>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</si>
  <si>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</si>
  <si>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</si>
  <si>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</si>
  <si>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</si>
  <si>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</si>
  <si>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</si>
  <si>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</si>
  <si>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</si>
  <si>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</si>
  <si>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</si>
  <si>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</si>
  <si>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</si>
  <si>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</si>
  <si>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</si>
  <si>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</si>
  <si>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</si>
  <si>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</si>
  <si>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</si>
  <si>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</si>
  <si>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</si>
  <si>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</si>
  <si>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</si>
  <si>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</si>
  <si>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</si>
  <si>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</si>
  <si>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</si>
  <si>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</si>
  <si>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</si>
  <si>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</si>
  <si>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</si>
  <si>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</si>
  <si>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</si>
  <si>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</si>
  <si>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</si>
  <si>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</si>
  <si>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</si>
  <si>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</si>
  <si>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</si>
  <si>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</si>
  <si>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</si>
  <si>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</si>
  <si>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</si>
  <si>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</si>
  <si>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</si>
  <si>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</si>
  <si>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</si>
  <si>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</si>
  <si>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</si>
  <si>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</si>
  <si>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</si>
  <si>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</si>
  <si>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</si>
  <si>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</si>
  <si>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</si>
  <si>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</si>
  <si>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</si>
  <si>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</si>
  <si>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</si>
  <si>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</si>
  <si>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</si>
  <si>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</si>
  <si>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</si>
  <si>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</si>
  <si>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</si>
  <si>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</si>
  <si>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</si>
  <si>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</si>
  <si>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</si>
  <si>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</si>
  <si>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</si>
  <si>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</si>
  <si>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</si>
  <si>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</si>
  <si>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</si>
  <si>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</si>
  <si>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</si>
  <si>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</si>
  <si>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</si>
  <si>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</si>
  <si>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</si>
  <si>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</si>
  <si>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</si>
  <si>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</si>
  <si>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</si>
  <si>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</si>
  <si>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</si>
  <si>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</si>
  <si>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</si>
  <si>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</si>
  <si>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</si>
  <si>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</si>
  <si>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</si>
  <si>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</si>
  <si>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</si>
  <si>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</si>
  <si>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</si>
  <si>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</si>
  <si>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</si>
  <si>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</si>
  <si>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</si>
  <si>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</si>
  <si>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</si>
  <si>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</si>
  <si>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</si>
  <si>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</si>
  <si>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</si>
  <si>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</si>
  <si>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</si>
  <si>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</si>
  <si>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</si>
  <si>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</si>
  <si>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</si>
  <si>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</si>
  <si>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</si>
  <si>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</si>
  <si>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</si>
  <si>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</si>
  <si>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</si>
  <si>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</si>
  <si>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</si>
  <si>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</si>
  <si>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</si>
  <si>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</si>
  <si>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</si>
  <si>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</si>
  <si>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</si>
  <si>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</si>
  <si>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</si>
  <si>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</si>
  <si>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</si>
  <si>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</si>
  <si>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</si>
  <si>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</si>
  <si>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</si>
  <si>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</si>
  <si>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</si>
  <si>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</si>
  <si>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</si>
  <si>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</si>
  <si>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</si>
  <si>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</si>
  <si>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</si>
  <si>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</si>
  <si>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</si>
  <si>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</si>
  <si>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</si>
  <si>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</si>
  <si>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</si>
  <si>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</si>
  <si>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</si>
  <si>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</si>
  <si>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</si>
  <si>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</si>
  <si>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</si>
  <si>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</si>
  <si>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</si>
  <si>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</si>
  <si>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</si>
  <si>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</si>
  <si>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</si>
  <si>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</si>
  <si>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</si>
  <si>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</si>
  <si>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</si>
  <si>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</si>
  <si>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</si>
  <si>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</si>
  <si>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</si>
  <si>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</si>
  <si>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</si>
  <si>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</si>
  <si>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</si>
  <si>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</si>
  <si>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</si>
  <si>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</si>
  <si>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</si>
  <si>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</si>
  <si>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</si>
  <si>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</si>
  <si>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</si>
  <si>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</si>
  <si>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</si>
  <si>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</si>
  <si>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</si>
  <si>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</si>
  <si>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</si>
  <si>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</si>
  <si>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</si>
  <si>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</si>
  <si>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</si>
  <si>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</si>
  <si>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</si>
  <si>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</si>
  <si>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</si>
  <si>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</si>
  <si>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</si>
  <si>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</si>
  <si>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</si>
  <si>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</si>
  <si>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</si>
  <si>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</si>
  <si>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</si>
  <si>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</si>
  <si>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</si>
  <si>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</si>
  <si>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</si>
  <si>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</si>
  <si>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</si>
  <si>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</si>
  <si>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</si>
  <si>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</si>
  <si>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</si>
  <si>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</si>
  <si>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</si>
  <si>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</si>
  <si>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</si>
  <si>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</si>
  <si>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</si>
  <si>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</si>
  <si>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</si>
  <si>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</si>
  <si>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</si>
  <si>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</si>
  <si>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</si>
  <si>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</si>
  <si>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</si>
  <si>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</si>
  <si>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</si>
  <si>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</si>
  <si>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</si>
  <si>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</si>
  <si>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</si>
  <si>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</si>
  <si>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</si>
  <si>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</si>
  <si>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</si>
  <si>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</si>
  <si>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</si>
  <si>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</si>
  <si>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</si>
  <si>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</si>
  <si>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</si>
  <si>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</si>
  <si>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</si>
  <si>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</si>
  <si>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</si>
  <si>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</si>
  <si>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</si>
  <si>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</si>
  <si>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</si>
  <si>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</si>
  <si>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</si>
  <si>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</si>
  <si>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</si>
  <si>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</si>
  <si>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</si>
  <si>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</si>
  <si>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</si>
  <si>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</si>
  <si>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</si>
  <si>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</si>
  <si>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</si>
  <si>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</si>
  <si>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</si>
  <si>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</si>
  <si>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</si>
  <si>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</si>
  <si>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</si>
  <si>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</si>
  <si>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</si>
  <si>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</si>
  <si>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</si>
  <si>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</si>
  <si>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</si>
  <si>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</si>
  <si>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</si>
  <si>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</si>
  <si>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</si>
  <si>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</si>
  <si>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</si>
  <si>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</si>
  <si>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</si>
  <si>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</si>
  <si>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</si>
  <si>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</si>
  <si>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</si>
  <si>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</si>
  <si>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</si>
  <si>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</si>
  <si>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</si>
  <si>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</si>
  <si>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</si>
  <si>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</si>
  <si>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</si>
  <si>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</si>
  <si>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</si>
  <si>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</si>
  <si>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</si>
  <si>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</si>
  <si>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</si>
  <si>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</si>
  <si>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</si>
  <si>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</si>
  <si>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</si>
  <si>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</si>
  <si>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</si>
  <si>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</si>
  <si>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</si>
  <si>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</si>
  <si>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</si>
  <si>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</si>
  <si>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</si>
  <si>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</si>
  <si>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</si>
  <si>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</si>
  <si>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</si>
  <si>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</si>
  <si>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</si>
  <si>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</si>
  <si>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</si>
  <si>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</si>
  <si>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</si>
  <si>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</si>
  <si>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</si>
  <si>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</si>
  <si>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</si>
  <si>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</si>
  <si>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</si>
  <si>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</si>
  <si>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</si>
  <si>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</si>
  <si>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</si>
  <si>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</si>
  <si>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</si>
  <si>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</si>
  <si>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</si>
  <si>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</si>
  <si>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</si>
  <si>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</si>
  <si>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</si>
  <si>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</si>
  <si>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</si>
  <si>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</si>
  <si>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</si>
  <si>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</si>
  <si>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</si>
  <si>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</si>
  <si>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</si>
  <si>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</si>
  <si>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</si>
  <si>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</si>
  <si>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</si>
  <si>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</si>
  <si>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</si>
  <si>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</si>
  <si>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</si>
  <si>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</si>
  <si>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</si>
  <si>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</si>
  <si>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</si>
  <si>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</si>
  <si>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</si>
  <si>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</si>
  <si>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</si>
  <si>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</si>
  <si>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</si>
  <si>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</si>
  <si>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</si>
  <si>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</si>
  <si>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</si>
  <si>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</si>
  <si>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</si>
  <si>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</si>
  <si>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</si>
  <si>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</si>
  <si>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</si>
  <si>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</si>
  <si>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</si>
  <si>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</si>
  <si>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</si>
  <si>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</si>
  <si>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</si>
  <si>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</si>
  <si>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</si>
  <si>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</si>
  <si>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</si>
  <si>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</si>
  <si>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</si>
  <si>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</si>
  <si>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</si>
  <si>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</si>
  <si>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</si>
  <si>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</si>
  <si>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</si>
  <si>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</si>
  <si>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</si>
  <si>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</si>
  <si>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</si>
  <si>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</si>
  <si>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</si>
  <si>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</si>
  <si>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</si>
  <si>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</si>
  <si>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</si>
  <si>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</si>
  <si>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</si>
  <si>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</si>
  <si>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</si>
  <si>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</si>
  <si>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</si>
  <si>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</si>
  <si>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</si>
  <si>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</si>
  <si>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</si>
  <si>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</si>
  <si>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</si>
  <si>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</si>
  <si>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</si>
  <si>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</si>
  <si>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</si>
  <si>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</si>
  <si>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</si>
  <si>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</si>
  <si>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</si>
  <si>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</si>
  <si>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</si>
  <si>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</si>
  <si>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</si>
  <si>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</si>
  <si>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</si>
  <si>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</si>
  <si>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</si>
  <si>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</si>
  <si>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</si>
  <si>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</si>
  <si>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</si>
  <si>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</si>
  <si>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</si>
  <si>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</si>
  <si>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</si>
  <si>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</si>
  <si>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</si>
  <si>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</si>
  <si>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</si>
  <si>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</si>
  <si>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</si>
  <si>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</si>
  <si>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</si>
  <si>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</si>
  <si>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</si>
  <si>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</si>
  <si>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</si>
  <si>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</si>
  <si>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</si>
  <si>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</si>
  <si>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</si>
  <si>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</si>
  <si>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</si>
  <si>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</si>
  <si>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</si>
  <si>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</si>
  <si>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</si>
  <si>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</si>
  <si>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</si>
  <si>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</si>
  <si>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</si>
  <si>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</si>
  <si>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</si>
  <si>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</si>
  <si>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</si>
  <si>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</si>
  <si>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</si>
  <si>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</si>
  <si>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</si>
  <si>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</si>
  <si>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</si>
  <si>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</si>
  <si>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</si>
  <si>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</si>
  <si>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</si>
  <si>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</si>
  <si>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</si>
  <si>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</si>
  <si>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</si>
  <si>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</si>
  <si>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</si>
  <si>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</si>
  <si>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</si>
  <si>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</si>
  <si>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</si>
  <si>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</si>
  <si>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</si>
  <si>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</si>
  <si>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</si>
  <si>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</si>
  <si>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</si>
  <si>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</si>
  <si>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</si>
  <si>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</si>
  <si>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</si>
  <si>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</si>
  <si>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</si>
  <si>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</si>
  <si>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</si>
  <si>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</si>
  <si>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</si>
  <si>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</si>
  <si>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</si>
  <si>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</si>
  <si>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</si>
  <si>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</si>
  <si>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</si>
  <si>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</si>
  <si>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</si>
  <si>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</si>
  <si>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</si>
  <si>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</si>
  <si>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</si>
  <si>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</si>
  <si>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</si>
  <si>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</si>
  <si>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</si>
  <si>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</si>
  <si>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</si>
  <si>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</si>
  <si>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</si>
  <si>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</si>
  <si>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</si>
  <si>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</si>
  <si>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</si>
  <si>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</si>
  <si>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</si>
  <si>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</si>
  <si>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</si>
  <si>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</si>
  <si>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</si>
  <si>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</si>
  <si>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</si>
  <si>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</si>
  <si>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</si>
  <si>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</si>
  <si>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</si>
  <si>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</si>
  <si>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</si>
  <si>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</si>
  <si>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</si>
  <si>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</si>
  <si>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</si>
  <si>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</si>
  <si>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</si>
  <si>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</si>
  <si>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</si>
  <si>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</si>
  <si>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</si>
  <si>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</si>
  <si>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</si>
  <si>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</si>
  <si>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</si>
  <si>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</si>
  <si>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</si>
  <si>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</si>
  <si>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</si>
  <si>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</si>
  <si>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</si>
  <si>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</si>
  <si>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</si>
  <si>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</si>
  <si>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</si>
  <si>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</si>
  <si>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</si>
  <si>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</si>
  <si>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</si>
  <si>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</si>
  <si>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</si>
  <si>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</si>
  <si>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</si>
  <si>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</si>
  <si>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</si>
  <si>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</si>
  <si>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</si>
  <si>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</si>
  <si>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</si>
  <si>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</si>
  <si>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</si>
  <si>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</si>
  <si>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</si>
  <si>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</si>
  <si>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</si>
  <si>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</si>
  <si>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</si>
  <si>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</si>
  <si>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</si>
  <si>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</si>
  <si>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</si>
  <si>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</si>
  <si>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</si>
  <si>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</si>
  <si>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</si>
  <si>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</si>
  <si>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</si>
  <si>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</si>
  <si>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</si>
  <si>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</si>
  <si>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</si>
  <si>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</si>
  <si>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</si>
  <si>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</si>
  <si>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</si>
  <si>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</si>
  <si>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</si>
  <si>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</si>
  <si>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</si>
  <si>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</si>
  <si>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</si>
  <si>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</si>
  <si>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</si>
  <si>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</si>
  <si>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</si>
  <si>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</si>
  <si>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</si>
  <si>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</si>
  <si>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</si>
  <si>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</si>
  <si>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</si>
  <si>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</si>
  <si>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</si>
  <si>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</si>
  <si>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</si>
  <si>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</si>
  <si>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</si>
  <si>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</si>
  <si>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</si>
  <si>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</si>
  <si>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</si>
  <si>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</si>
  <si>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</si>
  <si>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</si>
  <si>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</si>
  <si>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</si>
  <si>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</si>
  <si>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</si>
  <si>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</si>
  <si>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</si>
  <si>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</si>
  <si>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</si>
  <si>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</si>
  <si>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</si>
  <si>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</si>
  <si>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</si>
  <si>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</si>
  <si>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</si>
  <si>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</si>
  <si>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</si>
  <si>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</si>
  <si>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</si>
  <si>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</si>
  <si>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</si>
  <si>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</si>
  <si>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</si>
  <si>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</si>
  <si>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</si>
  <si>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</si>
  <si>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</si>
  <si>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</si>
  <si>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</si>
  <si>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</si>
  <si>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</si>
  <si>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</si>
  <si>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</si>
  <si>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</si>
  <si>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</si>
  <si>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</si>
  <si>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</si>
  <si>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</si>
  <si>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</si>
  <si>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</si>
  <si>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</si>
  <si>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</si>
  <si>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</si>
  <si>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</si>
  <si>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</si>
  <si>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</si>
  <si>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</si>
  <si>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</si>
  <si>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</si>
  <si>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</si>
  <si>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</si>
  <si>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</si>
  <si>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</si>
  <si>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</si>
  <si>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</si>
  <si>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</si>
  <si>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</si>
  <si>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37011</t>
  </si>
  <si>
    <t>PITTEM</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</si>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</sst>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609C6C9-9F2C-4680-B728-4C2AEDA810D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65163.303970237292</c:v>
                </c:pt>
                <c:pt idx="1">
                  <c:v>30145.182888882493</c:v>
                </c:pt>
                <c:pt idx="2">
                  <c:v>650.48400000000004</c:v>
                </c:pt>
                <c:pt idx="3">
                  <c:v>107574.95622433528</c:v>
                </c:pt>
                <c:pt idx="4">
                  <c:v>17999.669381183172</c:v>
                </c:pt>
                <c:pt idx="5">
                  <c:v>63222.190908138196</c:v>
                </c:pt>
                <c:pt idx="6">
                  <c:v>642.31856837167118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65163.303970237292</c:v>
                </c:pt>
                <c:pt idx="1">
                  <c:v>30145.182888882493</c:v>
                </c:pt>
                <c:pt idx="2">
                  <c:v>650.48400000000004</c:v>
                </c:pt>
                <c:pt idx="3">
                  <c:v>107574.95622433528</c:v>
                </c:pt>
                <c:pt idx="4">
                  <c:v>17999.669381183172</c:v>
                </c:pt>
                <c:pt idx="5">
                  <c:v>63222.190908138196</c:v>
                </c:pt>
                <c:pt idx="6">
                  <c:v>642.31856837167118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13484.168320097122</c:v>
                </c:pt>
                <c:pt idx="2">
                  <c:v>5659.7288805698136</c:v>
                </c:pt>
                <c:pt idx="3">
                  <c:v>116.30607180748611</c:v>
                </c:pt>
                <c:pt idx="4">
                  <c:v>23007.209214515799</c:v>
                </c:pt>
                <c:pt idx="5">
                  <c:v>3527.8712493273506</c:v>
                </c:pt>
                <c:pt idx="6">
                  <c:v>15994.337806891557</c:v>
                </c:pt>
                <c:pt idx="7">
                  <c:v>163.89773891864982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13484.168320097122</c:v>
                </c:pt>
                <c:pt idx="2">
                  <c:v>5659.7288805698136</c:v>
                </c:pt>
                <c:pt idx="3">
                  <c:v>116.30607180748611</c:v>
                </c:pt>
                <c:pt idx="4">
                  <c:v>23007.209214515799</c:v>
                </c:pt>
                <c:pt idx="5">
                  <c:v>3527.8712493273506</c:v>
                </c:pt>
                <c:pt idx="6">
                  <c:v>15994.337806891557</c:v>
                </c:pt>
                <c:pt idx="7">
                  <c:v>163.89773891864982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37011</v>
      </c>
      <c r="B6" s="385"/>
      <c r="C6" s="386"/>
    </row>
    <row r="7" spans="1:7" s="383" customFormat="1" ht="15.75" customHeight="1">
      <c r="A7" s="387" t="str">
        <f>txtMunicipality</f>
        <v>PITTEM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0.17879928146962276</v>
      </c>
      <c r="C17" s="498">
        <f ca="1">'EF ele_warmte'!B22</f>
        <v>0.19489699586911913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0.17879928146962276</v>
      </c>
      <c r="C29" s="499">
        <f ca="1">'EF ele_warmte'!B22</f>
        <v>0.19489699586911913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2668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2500</v>
      </c>
      <c r="C14" s="327"/>
      <c r="D14" s="327"/>
      <c r="E14" s="327"/>
      <c r="F14" s="327"/>
    </row>
    <row r="15" spans="1:6">
      <c r="A15" s="1258" t="s">
        <v>177</v>
      </c>
      <c r="B15" s="1259">
        <v>25</v>
      </c>
      <c r="C15" s="327"/>
      <c r="D15" s="327"/>
      <c r="E15" s="327"/>
      <c r="F15" s="327"/>
    </row>
    <row r="16" spans="1:6">
      <c r="A16" s="1258" t="s">
        <v>6</v>
      </c>
      <c r="B16" s="1259">
        <v>642</v>
      </c>
      <c r="C16" s="327"/>
      <c r="D16" s="327"/>
      <c r="E16" s="327"/>
      <c r="F16" s="327"/>
    </row>
    <row r="17" spans="1:6">
      <c r="A17" s="1258" t="s">
        <v>7</v>
      </c>
      <c r="B17" s="1259">
        <v>934</v>
      </c>
      <c r="C17" s="327"/>
      <c r="D17" s="327"/>
      <c r="E17" s="327"/>
      <c r="F17" s="327"/>
    </row>
    <row r="18" spans="1:6">
      <c r="A18" s="1258" t="s">
        <v>8</v>
      </c>
      <c r="B18" s="1259">
        <v>1050</v>
      </c>
      <c r="C18" s="327"/>
      <c r="D18" s="327"/>
      <c r="E18" s="327"/>
      <c r="F18" s="327"/>
    </row>
    <row r="19" spans="1:6">
      <c r="A19" s="1258" t="s">
        <v>9</v>
      </c>
      <c r="B19" s="1259">
        <v>977</v>
      </c>
      <c r="C19" s="327"/>
      <c r="D19" s="327"/>
      <c r="E19" s="327"/>
      <c r="F19" s="327"/>
    </row>
    <row r="20" spans="1:6">
      <c r="A20" s="1258" t="s">
        <v>10</v>
      </c>
      <c r="B20" s="1259">
        <v>725</v>
      </c>
      <c r="C20" s="327"/>
      <c r="D20" s="327"/>
      <c r="E20" s="327"/>
      <c r="F20" s="327"/>
    </row>
    <row r="21" spans="1:6">
      <c r="A21" s="1258" t="s">
        <v>11</v>
      </c>
      <c r="B21" s="1259">
        <v>40773</v>
      </c>
      <c r="C21" s="327"/>
      <c r="D21" s="327"/>
      <c r="E21" s="327"/>
      <c r="F21" s="327"/>
    </row>
    <row r="22" spans="1:6">
      <c r="A22" s="1258" t="s">
        <v>12</v>
      </c>
      <c r="B22" s="1259">
        <v>70412</v>
      </c>
      <c r="C22" s="327"/>
      <c r="D22" s="327"/>
      <c r="E22" s="327"/>
      <c r="F22" s="327"/>
    </row>
    <row r="23" spans="1:6">
      <c r="A23" s="1258" t="s">
        <v>13</v>
      </c>
      <c r="B23" s="1259">
        <v>2743</v>
      </c>
      <c r="C23" s="327"/>
      <c r="D23" s="327"/>
      <c r="E23" s="327"/>
      <c r="F23" s="327"/>
    </row>
    <row r="24" spans="1:6">
      <c r="A24" s="1258" t="s">
        <v>14</v>
      </c>
      <c r="B24" s="1259">
        <v>113</v>
      </c>
      <c r="C24" s="327"/>
      <c r="D24" s="327"/>
      <c r="E24" s="327"/>
      <c r="F24" s="327"/>
    </row>
    <row r="25" spans="1:6">
      <c r="A25" s="1258" t="s">
        <v>15</v>
      </c>
      <c r="B25" s="1259">
        <v>10016</v>
      </c>
      <c r="C25" s="327"/>
      <c r="D25" s="327"/>
      <c r="E25" s="327"/>
      <c r="F25" s="327"/>
    </row>
    <row r="26" spans="1:6">
      <c r="A26" s="1258" t="s">
        <v>16</v>
      </c>
      <c r="B26" s="1259">
        <v>145</v>
      </c>
      <c r="C26" s="327"/>
      <c r="D26" s="327"/>
      <c r="E26" s="327"/>
      <c r="F26" s="327"/>
    </row>
    <row r="27" spans="1:6">
      <c r="A27" s="1258" t="s">
        <v>17</v>
      </c>
      <c r="B27" s="1259">
        <v>0</v>
      </c>
      <c r="C27" s="327"/>
      <c r="D27" s="327"/>
      <c r="E27" s="327"/>
      <c r="F27" s="327"/>
    </row>
    <row r="28" spans="1:6">
      <c r="A28" s="1258" t="s">
        <v>18</v>
      </c>
      <c r="B28" s="1260">
        <v>188588</v>
      </c>
      <c r="C28" s="327"/>
      <c r="D28" s="327"/>
      <c r="E28" s="327"/>
      <c r="F28" s="327"/>
    </row>
    <row r="29" spans="1:6">
      <c r="A29" s="1258" t="s">
        <v>905</v>
      </c>
      <c r="B29" s="1260">
        <v>64</v>
      </c>
      <c r="C29" s="327"/>
      <c r="D29" s="327"/>
      <c r="E29" s="327"/>
      <c r="F29" s="327"/>
    </row>
    <row r="30" spans="1:6">
      <c r="A30" s="1253" t="s">
        <v>906</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319113.92855782801</v>
      </c>
    </row>
    <row r="37" spans="1:6">
      <c r="A37" s="1258" t="s">
        <v>24</v>
      </c>
      <c r="B37" s="1258" t="s">
        <v>27</v>
      </c>
      <c r="C37" s="1259">
        <v>0</v>
      </c>
      <c r="D37" s="1259">
        <v>0</v>
      </c>
      <c r="E37" s="1259">
        <v>0</v>
      </c>
      <c r="F37" s="1259">
        <v>0</v>
      </c>
    </row>
    <row r="38" spans="1:6">
      <c r="A38" s="1258" t="s">
        <v>24</v>
      </c>
      <c r="B38" s="1258" t="s">
        <v>28</v>
      </c>
      <c r="C38" s="1259">
        <v>0</v>
      </c>
      <c r="D38" s="1259">
        <v>0</v>
      </c>
      <c r="E38" s="1259">
        <v>4</v>
      </c>
      <c r="F38" s="1259">
        <v>10959.6594954297</v>
      </c>
    </row>
    <row r="39" spans="1:6">
      <c r="A39" s="1258" t="s">
        <v>29</v>
      </c>
      <c r="B39" s="1258" t="s">
        <v>30</v>
      </c>
      <c r="C39" s="1259">
        <v>1483</v>
      </c>
      <c r="D39" s="1259">
        <v>27640501.375865001</v>
      </c>
      <c r="E39" s="1259">
        <v>2406</v>
      </c>
      <c r="F39" s="1259">
        <v>10546296.426126</v>
      </c>
    </row>
    <row r="40" spans="1:6">
      <c r="A40" s="1258" t="s">
        <v>29</v>
      </c>
      <c r="B40" s="1258" t="s">
        <v>28</v>
      </c>
      <c r="C40" s="1259">
        <v>0</v>
      </c>
      <c r="D40" s="1259">
        <v>0</v>
      </c>
      <c r="E40" s="1259">
        <v>0</v>
      </c>
      <c r="F40" s="1259">
        <v>0</v>
      </c>
    </row>
    <row r="41" spans="1:6">
      <c r="A41" s="1258" t="s">
        <v>31</v>
      </c>
      <c r="B41" s="1258" t="s">
        <v>32</v>
      </c>
      <c r="C41" s="1259">
        <v>26</v>
      </c>
      <c r="D41" s="1259">
        <v>787395.30712122296</v>
      </c>
      <c r="E41" s="1259">
        <v>76</v>
      </c>
      <c r="F41" s="1259">
        <v>1452270.19219705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233815.75839663501</v>
      </c>
      <c r="E44" s="1259">
        <v>22</v>
      </c>
      <c r="F44" s="1259">
        <v>1206872.3692282899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2092201.5687979599</v>
      </c>
      <c r="E48" s="1259">
        <v>39</v>
      </c>
      <c r="F48" s="1259">
        <v>7273140.3007429698</v>
      </c>
    </row>
    <row r="49" spans="1:6">
      <c r="A49" s="1258" t="s">
        <v>31</v>
      </c>
      <c r="B49" s="1258" t="s">
        <v>39</v>
      </c>
      <c r="C49" s="1259">
        <v>0</v>
      </c>
      <c r="D49" s="1259">
        <v>0</v>
      </c>
      <c r="E49" s="1259">
        <v>0</v>
      </c>
      <c r="F49" s="1259">
        <v>0</v>
      </c>
    </row>
    <row r="50" spans="1:6">
      <c r="A50" s="1258" t="s">
        <v>31</v>
      </c>
      <c r="B50" s="1258" t="s">
        <v>40</v>
      </c>
      <c r="C50" s="1259">
        <v>4</v>
      </c>
      <c r="D50" s="1259">
        <v>220116.192200566</v>
      </c>
      <c r="E50" s="1259">
        <v>5</v>
      </c>
      <c r="F50" s="1259">
        <v>254191.012480529</v>
      </c>
    </row>
    <row r="51" spans="1:6">
      <c r="A51" s="1258" t="s">
        <v>41</v>
      </c>
      <c r="B51" s="1258" t="s">
        <v>42</v>
      </c>
      <c r="C51" s="1259">
        <v>16</v>
      </c>
      <c r="D51" s="1259">
        <v>2085336.31320183</v>
      </c>
      <c r="E51" s="1259">
        <v>196</v>
      </c>
      <c r="F51" s="1259">
        <v>7576442.70505358</v>
      </c>
    </row>
    <row r="52" spans="1:6">
      <c r="A52" s="1258" t="s">
        <v>41</v>
      </c>
      <c r="B52" s="1258" t="s">
        <v>28</v>
      </c>
      <c r="C52" s="1259">
        <v>3</v>
      </c>
      <c r="D52" s="1259">
        <v>2185483.1279467898</v>
      </c>
      <c r="E52" s="1259">
        <v>5</v>
      </c>
      <c r="F52" s="1259">
        <v>346417.997173646</v>
      </c>
    </row>
    <row r="53" spans="1:6">
      <c r="A53" s="1258" t="s">
        <v>43</v>
      </c>
      <c r="B53" s="1258" t="s">
        <v>44</v>
      </c>
      <c r="C53" s="1259">
        <v>38</v>
      </c>
      <c r="D53" s="1259">
        <v>829417.64525332197</v>
      </c>
      <c r="E53" s="1259">
        <v>68</v>
      </c>
      <c r="F53" s="1259">
        <v>750451.87797552103</v>
      </c>
    </row>
    <row r="54" spans="1:6">
      <c r="A54" s="1258" t="s">
        <v>45</v>
      </c>
      <c r="B54" s="1258" t="s">
        <v>46</v>
      </c>
      <c r="C54" s="1259">
        <v>0</v>
      </c>
      <c r="D54" s="1259">
        <v>0</v>
      </c>
      <c r="E54" s="1259">
        <v>1</v>
      </c>
      <c r="F54" s="1259">
        <v>650484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880242.68814796698</v>
      </c>
      <c r="E57" s="1259">
        <v>56</v>
      </c>
      <c r="F57" s="1259">
        <v>1515625.1763726</v>
      </c>
    </row>
    <row r="58" spans="1:6">
      <c r="A58" s="1258" t="s">
        <v>48</v>
      </c>
      <c r="B58" s="1258" t="s">
        <v>50</v>
      </c>
      <c r="C58" s="1259">
        <v>10</v>
      </c>
      <c r="D58" s="1259">
        <v>342925.58730178297</v>
      </c>
      <c r="E58" s="1259">
        <v>16</v>
      </c>
      <c r="F58" s="1259">
        <v>106399.026537925</v>
      </c>
    </row>
    <row r="59" spans="1:6">
      <c r="A59" s="1258" t="s">
        <v>48</v>
      </c>
      <c r="B59" s="1258" t="s">
        <v>51</v>
      </c>
      <c r="C59" s="1259">
        <v>34</v>
      </c>
      <c r="D59" s="1259">
        <v>5462117.3154701898</v>
      </c>
      <c r="E59" s="1259">
        <v>88</v>
      </c>
      <c r="F59" s="1259">
        <v>5636977.2233421104</v>
      </c>
    </row>
    <row r="60" spans="1:6">
      <c r="A60" s="1258" t="s">
        <v>48</v>
      </c>
      <c r="B60" s="1258" t="s">
        <v>52</v>
      </c>
      <c r="C60" s="1259">
        <v>13</v>
      </c>
      <c r="D60" s="1259">
        <v>694553.38734103902</v>
      </c>
      <c r="E60" s="1259">
        <v>23</v>
      </c>
      <c r="F60" s="1259">
        <v>453697.25836286601</v>
      </c>
    </row>
    <row r="61" spans="1:6">
      <c r="A61" s="1258" t="s">
        <v>48</v>
      </c>
      <c r="B61" s="1258" t="s">
        <v>53</v>
      </c>
      <c r="C61" s="1259">
        <v>23</v>
      </c>
      <c r="D61" s="1259">
        <v>2702365.4075451298</v>
      </c>
      <c r="E61" s="1259">
        <v>64</v>
      </c>
      <c r="F61" s="1259">
        <v>2810783.0656504701</v>
      </c>
    </row>
    <row r="62" spans="1:6">
      <c r="A62" s="1258" t="s">
        <v>48</v>
      </c>
      <c r="B62" s="1258" t="s">
        <v>54</v>
      </c>
      <c r="C62" s="1259">
        <v>4</v>
      </c>
      <c r="D62" s="1259">
        <v>548811.866537489</v>
      </c>
      <c r="E62" s="1259">
        <v>4</v>
      </c>
      <c r="F62" s="1259">
        <v>37714.721979356</v>
      </c>
    </row>
    <row r="63" spans="1:6">
      <c r="A63" s="1258" t="s">
        <v>48</v>
      </c>
      <c r="B63" s="1258" t="s">
        <v>28</v>
      </c>
      <c r="C63" s="1259">
        <v>59</v>
      </c>
      <c r="D63" s="1259">
        <v>5292474.1449654298</v>
      </c>
      <c r="E63" s="1259">
        <v>77</v>
      </c>
      <c r="F63" s="1259">
        <v>2517135.0992732299</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109099.416875116</v>
      </c>
      <c r="E68" s="1261">
        <v>18</v>
      </c>
      <c r="F68" s="1261">
        <v>261066.30449342201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55250247</v>
      </c>
      <c r="E73" s="446"/>
      <c r="F73" s="327"/>
    </row>
    <row r="74" spans="1:6">
      <c r="A74" s="1258" t="s">
        <v>63</v>
      </c>
      <c r="B74" s="1258" t="s">
        <v>681</v>
      </c>
      <c r="C74" s="1271" t="s">
        <v>682</v>
      </c>
      <c r="D74" s="1259">
        <v>6230621.6393677332</v>
      </c>
      <c r="E74" s="446"/>
      <c r="F74" s="327"/>
    </row>
    <row r="75" spans="1:6">
      <c r="A75" s="1258" t="s">
        <v>64</v>
      </c>
      <c r="B75" s="1258" t="s">
        <v>679</v>
      </c>
      <c r="C75" s="1271" t="s">
        <v>683</v>
      </c>
      <c r="D75" s="1259">
        <v>9450163</v>
      </c>
      <c r="E75" s="446"/>
      <c r="F75" s="327"/>
    </row>
    <row r="76" spans="1:6">
      <c r="A76" s="1258" t="s">
        <v>64</v>
      </c>
      <c r="B76" s="1258" t="s">
        <v>681</v>
      </c>
      <c r="C76" s="1271" t="s">
        <v>684</v>
      </c>
      <c r="D76" s="1259">
        <v>1076883.6393677334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170002.72126453335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2058.1996347663953</v>
      </c>
      <c r="C91" s="327"/>
      <c r="D91" s="327"/>
      <c r="E91" s="327"/>
      <c r="F91" s="327"/>
    </row>
    <row r="92" spans="1:6">
      <c r="A92" s="1253" t="s">
        <v>68</v>
      </c>
      <c r="B92" s="1254">
        <v>2389.8922268300303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1016</v>
      </c>
      <c r="C97" s="327"/>
      <c r="D97" s="327"/>
      <c r="E97" s="327"/>
      <c r="F97" s="327"/>
    </row>
    <row r="98" spans="1:6">
      <c r="A98" s="1258" t="s">
        <v>71</v>
      </c>
      <c r="B98" s="1259">
        <v>1</v>
      </c>
      <c r="C98" s="327"/>
      <c r="D98" s="327"/>
      <c r="E98" s="327"/>
      <c r="F98" s="327"/>
    </row>
    <row r="99" spans="1:6">
      <c r="A99" s="1258" t="s">
        <v>72</v>
      </c>
      <c r="B99" s="1259">
        <v>73</v>
      </c>
      <c r="C99" s="327"/>
      <c r="D99" s="327"/>
      <c r="E99" s="327"/>
      <c r="F99" s="327"/>
    </row>
    <row r="100" spans="1:6">
      <c r="A100" s="1258" t="s">
        <v>73</v>
      </c>
      <c r="B100" s="1259">
        <v>183</v>
      </c>
      <c r="C100" s="327"/>
      <c r="D100" s="327"/>
      <c r="E100" s="327"/>
      <c r="F100" s="327"/>
    </row>
    <row r="101" spans="1:6">
      <c r="A101" s="1258" t="s">
        <v>74</v>
      </c>
      <c r="B101" s="1259">
        <v>65</v>
      </c>
      <c r="C101" s="327"/>
      <c r="D101" s="327"/>
      <c r="E101" s="327"/>
      <c r="F101" s="327"/>
    </row>
    <row r="102" spans="1:6">
      <c r="A102" s="1258" t="s">
        <v>75</v>
      </c>
      <c r="B102" s="1259">
        <v>48</v>
      </c>
      <c r="C102" s="327"/>
      <c r="D102" s="327"/>
      <c r="E102" s="327"/>
      <c r="F102" s="327"/>
    </row>
    <row r="103" spans="1:6">
      <c r="A103" s="1258" t="s">
        <v>76</v>
      </c>
      <c r="B103" s="1259">
        <v>98</v>
      </c>
      <c r="C103" s="327"/>
      <c r="D103" s="327"/>
      <c r="E103" s="327"/>
      <c r="F103" s="327"/>
    </row>
    <row r="104" spans="1:6">
      <c r="A104" s="1258" t="s">
        <v>77</v>
      </c>
      <c r="B104" s="1259">
        <v>920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45201.105179336882</v>
      </c>
      <c r="C3" s="43" t="s">
        <v>163</v>
      </c>
      <c r="D3" s="43"/>
      <c r="E3" s="156"/>
      <c r="F3" s="43"/>
      <c r="G3" s="43"/>
      <c r="H3" s="43"/>
      <c r="I3" s="43"/>
      <c r="J3" s="43"/>
      <c r="K3" s="96"/>
    </row>
    <row r="4" spans="1:11">
      <c r="A4" s="353" t="s">
        <v>164</v>
      </c>
      <c r="B4" s="49">
        <f>IF(ISERROR('SEAP template'!B78+'SEAP template'!C78),0,'SEAP template'!B78+'SEAP template'!C78)</f>
        <v>53853.591861596433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9628.9835294117656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0.17879928146962276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13755.690756302522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70579.28571428571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0.19489699586911913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650.48400000000004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650.48400000000004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0.17879928146962276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116.30607180748611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10546.296426126</v>
      </c>
      <c r="C5" s="17">
        <f>IF(ISERROR('Eigen informatie GS &amp; warmtenet'!B57),0,'Eigen informatie GS &amp; warmtenet'!B57)</f>
        <v>0</v>
      </c>
      <c r="D5" s="30">
        <f>(SUM(HH_hh_gas_kWh,HH_rest_gas_kWh)/1000)*0.902</f>
        <v>24931.732241030233</v>
      </c>
      <c r="E5" s="17">
        <f>B32*B41</f>
        <v>719.02895485848887</v>
      </c>
      <c r="F5" s="17">
        <f>B36*B45</f>
        <v>22034.982247316966</v>
      </c>
      <c r="G5" s="18"/>
      <c r="H5" s="17"/>
      <c r="I5" s="17"/>
      <c r="J5" s="17">
        <f>B35*B44+C35*C44</f>
        <v>417.29868827191251</v>
      </c>
      <c r="K5" s="17"/>
      <c r="L5" s="17"/>
      <c r="M5" s="17"/>
      <c r="N5" s="17">
        <f>B34*B43+C34*C43</f>
        <v>4272.2724445339572</v>
      </c>
      <c r="O5" s="17">
        <f>B52*B53*B54</f>
        <v>50.026666666666671</v>
      </c>
      <c r="P5" s="17">
        <f>B60*B61*B62/1000-B60*B61*B62/1000/B63</f>
        <v>133.46666666666667</v>
      </c>
    </row>
    <row r="6" spans="1:16">
      <c r="A6" s="16" t="s">
        <v>592</v>
      </c>
      <c r="B6" s="733">
        <f>kWh_PV_kleiner_dan_10kW</f>
        <v>2058.1996347663953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12604.496060892396</v>
      </c>
      <c r="C8" s="21">
        <f>C5</f>
        <v>0</v>
      </c>
      <c r="D8" s="21">
        <f>D5</f>
        <v>24931.732241030233</v>
      </c>
      <c r="E8" s="21">
        <f>E5</f>
        <v>719.02895485848887</v>
      </c>
      <c r="F8" s="21">
        <f>F5</f>
        <v>22034.982247316966</v>
      </c>
      <c r="G8" s="21"/>
      <c r="H8" s="21"/>
      <c r="I8" s="21"/>
      <c r="J8" s="21">
        <f>J5</f>
        <v>417.29868827191251</v>
      </c>
      <c r="K8" s="21"/>
      <c r="L8" s="21">
        <f>L5</f>
        <v>0</v>
      </c>
      <c r="M8" s="21">
        <f>M5</f>
        <v>0</v>
      </c>
      <c r="N8" s="21">
        <f>N5</f>
        <v>4272.2724445339572</v>
      </c>
      <c r="O8" s="21">
        <f>O5</f>
        <v>50.026666666666671</v>
      </c>
      <c r="P8" s="21">
        <f>P5</f>
        <v>133.46666666666667</v>
      </c>
    </row>
    <row r="9" spans="1:16">
      <c r="B9" s="19"/>
      <c r="C9" s="19"/>
      <c r="D9" s="257"/>
      <c r="E9" s="19"/>
      <c r="F9" s="19"/>
      <c r="G9" s="19"/>
      <c r="H9" s="19"/>
      <c r="I9" s="19"/>
      <c r="J9" s="19"/>
      <c r="K9" s="19"/>
      <c r="L9" s="19"/>
      <c r="M9" s="19"/>
      <c r="N9" s="19"/>
      <c r="O9" s="19"/>
      <c r="P9" s="19"/>
    </row>
    <row r="10" spans="1:16">
      <c r="A10" s="24" t="s">
        <v>207</v>
      </c>
      <c r="B10" s="25">
        <f ca="1">'EF ele_warmte'!B12</f>
        <v>0.17879928146962276</v>
      </c>
      <c r="C10" s="25">
        <f ca="1">'EF ele_warmte'!B22</f>
        <v>0.19489699586911913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2253.6748389742506</v>
      </c>
      <c r="C12" s="23">
        <f ca="1">C10*C8</f>
        <v>0</v>
      </c>
      <c r="D12" s="23">
        <f>D8*D10</f>
        <v>5036.2099126881076</v>
      </c>
      <c r="E12" s="23">
        <f>E10*E8</f>
        <v>163.21957275287699</v>
      </c>
      <c r="F12" s="23">
        <f>F10*F8</f>
        <v>5883.3402600336303</v>
      </c>
      <c r="G12" s="23"/>
      <c r="H12" s="23"/>
      <c r="I12" s="23"/>
      <c r="J12" s="23">
        <f>J10*J8</f>
        <v>147.72373564825702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2668</v>
      </c>
      <c r="C26" s="36"/>
      <c r="D26" s="227"/>
    </row>
    <row r="27" spans="1:5" s="15" customFormat="1">
      <c r="A27" s="229" t="s">
        <v>697</v>
      </c>
      <c r="B27" s="37">
        <f>SUM(HH_hh_gas_aantal,HH_rest_gas_aantal)</f>
        <v>1483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1408.85</v>
      </c>
      <c r="C31" s="34" t="s">
        <v>104</v>
      </c>
      <c r="D31" s="173"/>
    </row>
    <row r="32" spans="1:5">
      <c r="A32" s="170" t="s">
        <v>72</v>
      </c>
      <c r="B32" s="33">
        <f>IF((B21*($B$26-($B$27-0.05*$B$27)-$B$60))&lt;0,0,B21*($B$26-($B$27-0.05*$B$27)-$B$60))</f>
        <v>31.355791929180466</v>
      </c>
      <c r="C32" s="34" t="s">
        <v>104</v>
      </c>
      <c r="D32" s="173"/>
    </row>
    <row r="33" spans="1:6">
      <c r="A33" s="170" t="s">
        <v>73</v>
      </c>
      <c r="B33" s="33">
        <f>IF((B22*($B$26-($B$27-0.05*$B$27)-$B$60))&lt;0,0,B22*($B$26-($B$27-0.05*$B$27)-$B$60))</f>
        <v>211.06125499490648</v>
      </c>
      <c r="C33" s="34" t="s">
        <v>104</v>
      </c>
      <c r="D33" s="173"/>
    </row>
    <row r="34" spans="1:6">
      <c r="A34" s="170" t="s">
        <v>74</v>
      </c>
      <c r="B34" s="33">
        <f>IF((B24*($B$26-($B$27-0.05*$B$27)-$B$60))&lt;0,0,B24*($B$26-($B$27-0.05*$B$27)-$B$60))</f>
        <v>53.549101225752182</v>
      </c>
      <c r="C34" s="33">
        <f>B26*C24</f>
        <v>545.76626043358203</v>
      </c>
      <c r="D34" s="232"/>
    </row>
    <row r="35" spans="1:6">
      <c r="A35" s="170" t="s">
        <v>76</v>
      </c>
      <c r="B35" s="33">
        <f>IF((B19*($B$26-($B$27-0.05*$B$27)-$B$60))&lt;0,0,B19*($B$26-($B$27-0.05*$B$27)-$B$60))</f>
        <v>19.900604980567316</v>
      </c>
      <c r="C35" s="33">
        <f>B35/2</f>
        <v>9.9503024902836579</v>
      </c>
      <c r="D35" s="232"/>
    </row>
    <row r="36" spans="1:6">
      <c r="A36" s="170" t="s">
        <v>77</v>
      </c>
      <c r="B36" s="33">
        <f>IF((B18*($B$26-($B$27-0.05*$B$27)-$B$60))&lt;0,0,B18*($B$26-($B$27-0.05*$B$27)-$B$60))</f>
        <v>936.28324686959377</v>
      </c>
      <c r="C36" s="34" t="s">
        <v>104</v>
      </c>
      <c r="D36" s="173"/>
    </row>
    <row r="37" spans="1:6">
      <c r="A37" s="170" t="s">
        <v>78</v>
      </c>
      <c r="B37" s="33">
        <f>B60</f>
        <v>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13078.331571518556</v>
      </c>
      <c r="C5" s="17">
        <f>IF(ISERROR('Eigen informatie GS &amp; warmtenet'!B58),0,'Eigen informatie GS &amp; warmtenet'!B58)</f>
        <v>0</v>
      </c>
      <c r="D5" s="30">
        <f>SUM(D6:D12)</f>
        <v>14362.988338372743</v>
      </c>
      <c r="E5" s="17">
        <f>SUM(E6:E12)</f>
        <v>70.589662178836278</v>
      </c>
      <c r="F5" s="17">
        <f>SUM(F6:F12)</f>
        <v>1497.0381756880247</v>
      </c>
      <c r="G5" s="18"/>
      <c r="H5" s="17"/>
      <c r="I5" s="17"/>
      <c r="J5" s="17">
        <f>SUM(J6:J12)</f>
        <v>12.078819735085233</v>
      </c>
      <c r="K5" s="17"/>
      <c r="L5" s="17"/>
      <c r="M5" s="17"/>
      <c r="N5" s="17">
        <f>SUM(N6:N12)</f>
        <v>1124.1563213892462</v>
      </c>
      <c r="O5" s="17">
        <f>B38*B39*B40</f>
        <v>0</v>
      </c>
      <c r="P5" s="17">
        <f>B46*B47*B48/1000-B46*B47*B48/1000/B49</f>
        <v>0</v>
      </c>
      <c r="R5" s="32"/>
    </row>
    <row r="6" spans="1:18">
      <c r="A6" s="32" t="s">
        <v>53</v>
      </c>
      <c r="B6" s="37">
        <f>B26</f>
        <v>2810.7830656504702</v>
      </c>
      <c r="C6" s="33"/>
      <c r="D6" s="37">
        <f>IF(ISERROR(TER_kantoor_gas_kWh/1000),0,TER_kantoor_gas_kWh/1000)*0.902</f>
        <v>2437.5335976057072</v>
      </c>
      <c r="E6" s="33">
        <f>$C$26*'E Balans VL '!I12/100/3.6*1000000</f>
        <v>23.72546061341022</v>
      </c>
      <c r="F6" s="33">
        <f>$C$26*('E Balans VL '!L12+'E Balans VL '!N12)/100/3.6*1000000</f>
        <v>376.89488787278617</v>
      </c>
      <c r="G6" s="34"/>
      <c r="H6" s="33"/>
      <c r="I6" s="33"/>
      <c r="J6" s="33">
        <f>$C$26*('E Balans VL '!D12+'E Balans VL '!E12)/100/3.6*1000000</f>
        <v>0</v>
      </c>
      <c r="K6" s="33"/>
      <c r="L6" s="33"/>
      <c r="M6" s="33"/>
      <c r="N6" s="33">
        <f>$C$26*'E Balans VL '!Y12/100/3.6*1000000</f>
        <v>24.719967742445174</v>
      </c>
      <c r="O6" s="33"/>
      <c r="P6" s="33"/>
      <c r="R6" s="32"/>
    </row>
    <row r="7" spans="1:18">
      <c r="A7" s="32" t="s">
        <v>52</v>
      </c>
      <c r="B7" s="37">
        <f t="shared" ref="B7:B12" si="0">B27</f>
        <v>453.69725836286602</v>
      </c>
      <c r="C7" s="33"/>
      <c r="D7" s="37">
        <f>IF(ISERROR(TER_horeca_gas_kWh/1000),0,TER_horeca_gas_kWh/1000)*0.902</f>
        <v>626.4871553816173</v>
      </c>
      <c r="E7" s="33">
        <f>$C$27*'E Balans VL '!I9/100/3.6*1000000</f>
        <v>5.965213174445088</v>
      </c>
      <c r="F7" s="33">
        <f>$C$27*('E Balans VL '!L9+'E Balans VL '!N9)/100/3.6*1000000</f>
        <v>113.94032613424552</v>
      </c>
      <c r="G7" s="34"/>
      <c r="H7" s="33"/>
      <c r="I7" s="33"/>
      <c r="J7" s="33">
        <f>$C$27*('E Balans VL '!D9+'E Balans VL '!E9)/100/3.6*1000000</f>
        <v>0</v>
      </c>
      <c r="K7" s="33"/>
      <c r="L7" s="33"/>
      <c r="M7" s="33"/>
      <c r="N7" s="33">
        <f>$C$27*'E Balans VL '!Y9/100/3.6*1000000</f>
        <v>0.1235135095114348</v>
      </c>
      <c r="O7" s="33"/>
      <c r="P7" s="33"/>
      <c r="R7" s="32"/>
    </row>
    <row r="8" spans="1:18">
      <c r="A8" s="6" t="s">
        <v>51</v>
      </c>
      <c r="B8" s="37">
        <f t="shared" si="0"/>
        <v>5636.9772233421108</v>
      </c>
      <c r="C8" s="33"/>
      <c r="D8" s="37">
        <f>IF(ISERROR(TER_handel_gas_kWh/1000),0,TER_handel_gas_kWh/1000)*0.902</f>
        <v>4926.8298185541116</v>
      </c>
      <c r="E8" s="33">
        <f>$C$28*'E Balans VL '!I13/100/3.6*1000000</f>
        <v>24.686396930439919</v>
      </c>
      <c r="F8" s="33">
        <f>$C$28*('E Balans VL '!L13+'E Balans VL '!N13)/100/3.6*1000000</f>
        <v>378.88729182403193</v>
      </c>
      <c r="G8" s="34"/>
      <c r="H8" s="33"/>
      <c r="I8" s="33"/>
      <c r="J8" s="33">
        <f>$C$28*('E Balans VL '!D13+'E Balans VL '!E13)/100/3.6*1000000</f>
        <v>0</v>
      </c>
      <c r="K8" s="33"/>
      <c r="L8" s="33"/>
      <c r="M8" s="33"/>
      <c r="N8" s="33">
        <f>$C$28*'E Balans VL '!Y13/100/3.6*1000000</f>
        <v>16.653069715997162</v>
      </c>
      <c r="O8" s="33"/>
      <c r="P8" s="33"/>
      <c r="R8" s="32"/>
    </row>
    <row r="9" spans="1:18">
      <c r="A9" s="32" t="s">
        <v>50</v>
      </c>
      <c r="B9" s="37">
        <f t="shared" si="0"/>
        <v>106.39902653792501</v>
      </c>
      <c r="C9" s="33"/>
      <c r="D9" s="37">
        <f>IF(ISERROR(TER_gezond_gas_kWh/1000),0,TER_gezond_gas_kWh/1000)*0.902</f>
        <v>309.31887974620827</v>
      </c>
      <c r="E9" s="33">
        <f>$C$29*'E Balans VL '!I10/100/3.6*1000000</f>
        <v>3.6591094981795275E-2</v>
      </c>
      <c r="F9" s="33">
        <f>$C$29*('E Balans VL '!L10+'E Balans VL '!N10)/100/3.6*1000000</f>
        <v>9.2996940042544978</v>
      </c>
      <c r="G9" s="34"/>
      <c r="H9" s="33"/>
      <c r="I9" s="33"/>
      <c r="J9" s="33">
        <f>$C$29*('E Balans VL '!D10+'E Balans VL '!E10)/100/3.6*1000000</f>
        <v>4.4135228671762281</v>
      </c>
      <c r="K9" s="33"/>
      <c r="L9" s="33"/>
      <c r="M9" s="33"/>
      <c r="N9" s="33">
        <f>$C$29*'E Balans VL '!Y10/100/3.6*1000000</f>
        <v>1.1155544748246573</v>
      </c>
      <c r="O9" s="33"/>
      <c r="P9" s="33"/>
      <c r="R9" s="32"/>
    </row>
    <row r="10" spans="1:18">
      <c r="A10" s="32" t="s">
        <v>49</v>
      </c>
      <c r="B10" s="37">
        <f t="shared" si="0"/>
        <v>1515.6251763726</v>
      </c>
      <c r="C10" s="33"/>
      <c r="D10" s="37">
        <f>IF(ISERROR(TER_ander_gas_kWh/1000),0,TER_ander_gas_kWh/1000)*0.902</f>
        <v>793.97890470946629</v>
      </c>
      <c r="E10" s="33">
        <f>$C$30*'E Balans VL '!I14/100/3.6*1000000</f>
        <v>0.9013975943242909</v>
      </c>
      <c r="F10" s="33">
        <f>$C$30*('E Balans VL '!L14+'E Balans VL '!N14)/100/3.6*1000000</f>
        <v>268.34619497388707</v>
      </c>
      <c r="G10" s="34"/>
      <c r="H10" s="33"/>
      <c r="I10" s="33"/>
      <c r="J10" s="33">
        <f>$C$30*('E Balans VL '!D14+'E Balans VL '!E14)/100/3.6*1000000</f>
        <v>0</v>
      </c>
      <c r="K10" s="33"/>
      <c r="L10" s="33"/>
      <c r="M10" s="33"/>
      <c r="N10" s="33">
        <f>$C$30*'E Balans VL '!Y14/100/3.6*1000000</f>
        <v>899.92656109321058</v>
      </c>
      <c r="O10" s="33"/>
      <c r="P10" s="33"/>
      <c r="R10" s="32"/>
    </row>
    <row r="11" spans="1:18">
      <c r="A11" s="32" t="s">
        <v>54</v>
      </c>
      <c r="B11" s="37">
        <f t="shared" si="0"/>
        <v>37.714721979356</v>
      </c>
      <c r="C11" s="33"/>
      <c r="D11" s="37">
        <f>IF(ISERROR(TER_onderwijs_gas_kWh/1000),0,TER_onderwijs_gas_kWh/1000)*0.902</f>
        <v>495.02830361681509</v>
      </c>
      <c r="E11" s="33">
        <f>$C$31*'E Balans VL '!I11/100/3.6*1000000</f>
        <v>2.5085985911190194E-2</v>
      </c>
      <c r="F11" s="33">
        <f>$C$31*('E Balans VL '!L11+'E Balans VL '!N11)/100/3.6*1000000</f>
        <v>12.083062057867847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2517.13509927323</v>
      </c>
      <c r="C12" s="33"/>
      <c r="D12" s="37">
        <f>IF(ISERROR(TER_rest_gas_kWh/1000),0,TER_rest_gas_kWh/1000)*0.902</f>
        <v>4773.8116787588178</v>
      </c>
      <c r="E12" s="33">
        <f>$C$32*'E Balans VL '!I8/100/3.6*1000000</f>
        <v>15.249516785323777</v>
      </c>
      <c r="F12" s="33">
        <f>$C$32*('E Balans VL '!L8+'E Balans VL '!N8)/100/3.6*1000000</f>
        <v>337.58671882095149</v>
      </c>
      <c r="G12" s="34"/>
      <c r="H12" s="33"/>
      <c r="I12" s="33"/>
      <c r="J12" s="33">
        <f>$C$32*('E Balans VL '!D8+'E Balans VL '!E8)/100/3.6*1000000</f>
        <v>7.6652968679090057</v>
      </c>
      <c r="K12" s="33"/>
      <c r="L12" s="33"/>
      <c r="M12" s="33"/>
      <c r="N12" s="33">
        <f>$C$32*'E Balans VL '!Y8/100/3.6*1000000</f>
        <v>181.61765485325705</v>
      </c>
      <c r="O12" s="33"/>
      <c r="P12" s="33"/>
      <c r="R12" s="32"/>
    </row>
    <row r="13" spans="1:18">
      <c r="A13" s="16" t="s">
        <v>483</v>
      </c>
      <c r="B13" s="245">
        <f ca="1">'lokale energieproductie'!N40+'lokale energieproductie'!N33</f>
        <v>0</v>
      </c>
      <c r="C13" s="245">
        <f ca="1">'lokale energieproductie'!O40+'lokale energieproductie'!O33</f>
        <v>0</v>
      </c>
      <c r="D13" s="305">
        <f ca="1">('lokale energieproductie'!P33+'lokale energieproductie'!P40)*(-1)</f>
        <v>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13078.331571518556</v>
      </c>
      <c r="C16" s="21">
        <f t="shared" ca="1" si="1"/>
        <v>0</v>
      </c>
      <c r="D16" s="21">
        <f t="shared" ca="1" si="1"/>
        <v>14362.988338372743</v>
      </c>
      <c r="E16" s="21">
        <f t="shared" si="1"/>
        <v>70.589662178836278</v>
      </c>
      <c r="F16" s="21">
        <f t="shared" ca="1" si="1"/>
        <v>1497.0381756880247</v>
      </c>
      <c r="G16" s="21">
        <f t="shared" si="1"/>
        <v>0</v>
      </c>
      <c r="H16" s="21">
        <f t="shared" si="1"/>
        <v>0</v>
      </c>
      <c r="I16" s="21">
        <f t="shared" si="1"/>
        <v>0</v>
      </c>
      <c r="J16" s="21">
        <f t="shared" si="1"/>
        <v>12.078819735085233</v>
      </c>
      <c r="K16" s="21">
        <f t="shared" si="1"/>
        <v>0</v>
      </c>
      <c r="L16" s="21">
        <f t="shared" ca="1" si="1"/>
        <v>0</v>
      </c>
      <c r="M16" s="21">
        <f t="shared" si="1"/>
        <v>0</v>
      </c>
      <c r="N16" s="21">
        <f t="shared" ca="1" si="1"/>
        <v>1124.1563213892462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0.17879928146962276</v>
      </c>
      <c r="C18" s="25">
        <f ca="1">'EF ele_warmte'!B22</f>
        <v>0.19489699586911913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2338.3962878090001</v>
      </c>
      <c r="C20" s="23">
        <f t="shared" ref="C20:P20" ca="1" si="2">C16*C18</f>
        <v>0</v>
      </c>
      <c r="D20" s="23">
        <f t="shared" ca="1" si="2"/>
        <v>2901.3236443512942</v>
      </c>
      <c r="E20" s="23">
        <f t="shared" si="2"/>
        <v>16.023853314595836</v>
      </c>
      <c r="F20" s="23">
        <f t="shared" ca="1" si="2"/>
        <v>399.70919290870262</v>
      </c>
      <c r="G20" s="23">
        <f t="shared" si="2"/>
        <v>0</v>
      </c>
      <c r="H20" s="23">
        <f t="shared" si="2"/>
        <v>0</v>
      </c>
      <c r="I20" s="23">
        <f t="shared" si="2"/>
        <v>0</v>
      </c>
      <c r="J20" s="23">
        <f t="shared" si="2"/>
        <v>4.275902186220172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2810.7830656504702</v>
      </c>
      <c r="C26" s="39">
        <f>IF(ISERROR(B26*3.6/1000000/'E Balans VL '!Z12*100),0,B26*3.6/1000000/'E Balans VL '!Z12*100)</f>
        <v>5.8910523584531284E-2</v>
      </c>
      <c r="D26" s="235" t="s">
        <v>647</v>
      </c>
      <c r="F26" s="6"/>
    </row>
    <row r="27" spans="1:18">
      <c r="A27" s="230" t="s">
        <v>52</v>
      </c>
      <c r="B27" s="33">
        <f>IF(ISERROR(TER_horeca_ele_kWh/1000),0,TER_horeca_ele_kWh/1000)</f>
        <v>453.69725836286602</v>
      </c>
      <c r="C27" s="39">
        <f>IF(ISERROR(B27*3.6/1000000/'E Balans VL '!Z9*100),0,B27*3.6/1000000/'E Balans VL '!Z9*100)</f>
        <v>3.4784890730738476E-2</v>
      </c>
      <c r="D27" s="235" t="s">
        <v>647</v>
      </c>
      <c r="F27" s="6"/>
    </row>
    <row r="28" spans="1:18">
      <c r="A28" s="170" t="s">
        <v>51</v>
      </c>
      <c r="B28" s="33">
        <f>IF(ISERROR(TER_handel_ele_kWh/1000),0,TER_handel_ele_kWh/1000)</f>
        <v>5636.9772233421108</v>
      </c>
      <c r="C28" s="39">
        <f>IF(ISERROR(B28*3.6/1000000/'E Balans VL '!Z13*100),0,B28*3.6/1000000/'E Balans VL '!Z13*100)</f>
        <v>0.15902744325016804</v>
      </c>
      <c r="D28" s="235" t="s">
        <v>647</v>
      </c>
      <c r="F28" s="6"/>
    </row>
    <row r="29" spans="1:18">
      <c r="A29" s="230" t="s">
        <v>50</v>
      </c>
      <c r="B29" s="33">
        <f>IF(ISERROR(TER_gezond_ele_kWh/1000),0,TER_gezond_ele_kWh/1000)</f>
        <v>106.39902653792501</v>
      </c>
      <c r="C29" s="39">
        <f>IF(ISERROR(B29*3.6/1000000/'E Balans VL '!Z10*100),0,B29*3.6/1000000/'E Balans VL '!Z10*100)</f>
        <v>1.1814288609184844E-2</v>
      </c>
      <c r="D29" s="235" t="s">
        <v>647</v>
      </c>
      <c r="F29" s="6"/>
    </row>
    <row r="30" spans="1:18">
      <c r="A30" s="230" t="s">
        <v>49</v>
      </c>
      <c r="B30" s="33">
        <f>IF(ISERROR(TER_ander_ele_kWh/1000),0,TER_ander_ele_kWh/1000)</f>
        <v>1515.6251763726</v>
      </c>
      <c r="C30" s="39">
        <f>IF(ISERROR(B30*3.6/1000000/'E Balans VL '!Z14*100),0,B30*3.6/1000000/'E Balans VL '!Z14*100)</f>
        <v>0.10936058576985312</v>
      </c>
      <c r="D30" s="235" t="s">
        <v>647</v>
      </c>
      <c r="F30" s="6"/>
    </row>
    <row r="31" spans="1:18">
      <c r="A31" s="230" t="s">
        <v>54</v>
      </c>
      <c r="B31" s="33">
        <f>IF(ISERROR(TER_onderwijs_ele_kWh/1000),0,TER_onderwijs_ele_kWh/1000)</f>
        <v>37.714721979356</v>
      </c>
      <c r="C31" s="39">
        <f>IF(ISERROR(B31*3.6/1000000/'E Balans VL '!Z11*100),0,B31*3.6/1000000/'E Balans VL '!Z11*100)</f>
        <v>1.0454222190438301E-2</v>
      </c>
      <c r="D31" s="235" t="s">
        <v>647</v>
      </c>
    </row>
    <row r="32" spans="1:18">
      <c r="A32" s="230" t="s">
        <v>249</v>
      </c>
      <c r="B32" s="33">
        <f>IF(ISERROR(TER_rest_ele_kWh/1000),0,TER_rest_ele_kWh/1000)</f>
        <v>2517.13509927323</v>
      </c>
      <c r="C32" s="39">
        <f>IF(ISERROR(B32*3.6/1000000/'E Balans VL '!Z8*100),0,B32*3.6/1000000/'E Balans VL '!Z8*100)</f>
        <v>2.0518762946955781E-2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10186.473874648838</v>
      </c>
      <c r="C5" s="17">
        <f>IF(ISERROR('Eigen informatie GS &amp; warmtenet'!B59),0,'Eigen informatie GS &amp; warmtenet'!B59)</f>
        <v>0</v>
      </c>
      <c r="D5" s="30">
        <f>SUM(D6:D15)</f>
        <v>3006.8430015177782</v>
      </c>
      <c r="E5" s="17">
        <f>SUM(E6:E15)</f>
        <v>854.24729330745208</v>
      </c>
      <c r="F5" s="17">
        <f>SUM(F6:F15)</f>
        <v>3365.6941232802701</v>
      </c>
      <c r="G5" s="18"/>
      <c r="H5" s="17"/>
      <c r="I5" s="17"/>
      <c r="J5" s="17">
        <f>SUM(J6:J15)</f>
        <v>18.64487860971526</v>
      </c>
      <c r="K5" s="17"/>
      <c r="L5" s="17"/>
      <c r="M5" s="17"/>
      <c r="N5" s="17">
        <f>SUM(N6:N15)</f>
        <v>567.76620981912129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1206.8723692282899</v>
      </c>
      <c r="C8" s="33"/>
      <c r="D8" s="37">
        <f>IF( ISERROR(IND_metaal_Gas_kWH/1000),0,IND_metaal_Gas_kWH/1000)*0.902</f>
        <v>210.90181407376477</v>
      </c>
      <c r="E8" s="33">
        <f>C30*'E Balans VL '!I18/100/3.6*1000000</f>
        <v>34.665904487371421</v>
      </c>
      <c r="F8" s="33">
        <f>C30*'E Balans VL '!L18/100/3.6*1000000+C30*'E Balans VL '!N18/100/3.6*1000000</f>
        <v>309.53955121564292</v>
      </c>
      <c r="G8" s="34"/>
      <c r="H8" s="33"/>
      <c r="I8" s="33"/>
      <c r="J8" s="40">
        <f>C30*'E Balans VL '!D18/100/3.6*1000000+C30*'E Balans VL '!E18/100/3.6*1000000</f>
        <v>0</v>
      </c>
      <c r="K8" s="33"/>
      <c r="L8" s="33"/>
      <c r="M8" s="33"/>
      <c r="N8" s="33">
        <f>C30*'E Balans VL '!Y18/100/3.6*1000000</f>
        <v>32.769048400087442</v>
      </c>
      <c r="O8" s="33"/>
      <c r="P8" s="33"/>
      <c r="R8" s="32"/>
    </row>
    <row r="9" spans="1:18">
      <c r="A9" s="6" t="s">
        <v>32</v>
      </c>
      <c r="B9" s="37">
        <f t="shared" si="0"/>
        <v>1452.2701921970499</v>
      </c>
      <c r="C9" s="33"/>
      <c r="D9" s="37">
        <f>IF( ISERROR(IND_andere_gas_kWh/1000),0,IND_andere_gas_kWh/1000)*0.902</f>
        <v>710.23056702334304</v>
      </c>
      <c r="E9" s="33">
        <f>C31*'E Balans VL '!I19/100/3.6*1000000</f>
        <v>393.09383400178768</v>
      </c>
      <c r="F9" s="33">
        <f>C31*'E Balans VL '!L19/100/3.6*1000000+C31*'E Balans VL '!N19/100/3.6*1000000</f>
        <v>967.36563029230149</v>
      </c>
      <c r="G9" s="34"/>
      <c r="H9" s="33"/>
      <c r="I9" s="33"/>
      <c r="J9" s="40">
        <f>C31*'E Balans VL '!D19/100/3.6*1000000+C31*'E Balans VL '!E19/100/3.6*1000000</f>
        <v>0</v>
      </c>
      <c r="K9" s="33"/>
      <c r="L9" s="33"/>
      <c r="M9" s="33"/>
      <c r="N9" s="33">
        <f>C31*'E Balans VL '!Y19/100/3.6*1000000</f>
        <v>122.77982455880323</v>
      </c>
      <c r="O9" s="33"/>
      <c r="P9" s="33"/>
      <c r="R9" s="32"/>
    </row>
    <row r="10" spans="1:18">
      <c r="A10" s="6" t="s">
        <v>40</v>
      </c>
      <c r="B10" s="37">
        <f t="shared" si="0"/>
        <v>254.191012480529</v>
      </c>
      <c r="C10" s="33"/>
      <c r="D10" s="37">
        <f>IF( ISERROR(IND_voed_gas_kWh/1000),0,IND_voed_gas_kWh/1000)*0.902</f>
        <v>198.54480536491053</v>
      </c>
      <c r="E10" s="33">
        <f>C32*'E Balans VL '!I20/100/3.6*1000000</f>
        <v>20.732402966566941</v>
      </c>
      <c r="F10" s="33">
        <f>C32*'E Balans VL '!L20/100/3.6*1000000+C32*'E Balans VL '!N20/100/3.6*1000000</f>
        <v>379.02186183786318</v>
      </c>
      <c r="G10" s="34"/>
      <c r="H10" s="33"/>
      <c r="I10" s="33"/>
      <c r="J10" s="40">
        <f>C32*'E Balans VL '!D20/100/3.6*1000000+C32*'E Balans VL '!E20/100/3.6*1000000</f>
        <v>3.3626385486199483E-3</v>
      </c>
      <c r="K10" s="33"/>
      <c r="L10" s="33"/>
      <c r="M10" s="33"/>
      <c r="N10" s="33">
        <f>C32*'E Balans VL '!Y20/100/3.6*1000000</f>
        <v>74.672350033103811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7273.1403007429699</v>
      </c>
      <c r="C15" s="33"/>
      <c r="D15" s="37">
        <f>IF( ISERROR(IND_rest_gas_kWh/1000),0,IND_rest_gas_kWh/1000)*0.902</f>
        <v>1887.16581505576</v>
      </c>
      <c r="E15" s="33">
        <f>C37*'E Balans VL '!I15/100/3.6*1000000</f>
        <v>405.755151851726</v>
      </c>
      <c r="F15" s="33">
        <f>C37*'E Balans VL '!L15/100/3.6*1000000+C37*'E Balans VL '!N15/100/3.6*1000000</f>
        <v>1709.7670799344621</v>
      </c>
      <c r="G15" s="34"/>
      <c r="H15" s="33"/>
      <c r="I15" s="33"/>
      <c r="J15" s="40">
        <f>C37*'E Balans VL '!D15/100/3.6*1000000+C37*'E Balans VL '!E15/100/3.6*1000000</f>
        <v>18.64151597116664</v>
      </c>
      <c r="K15" s="33"/>
      <c r="L15" s="33"/>
      <c r="M15" s="33"/>
      <c r="N15" s="33">
        <f>C37*'E Balans VL '!Y15/100/3.6*1000000</f>
        <v>337.54498682712676</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10186.473874648838</v>
      </c>
      <c r="C18" s="21">
        <f>C5+C16</f>
        <v>0</v>
      </c>
      <c r="D18" s="21">
        <f>MAX((D5+D16),0)</f>
        <v>3006.8430015177782</v>
      </c>
      <c r="E18" s="21">
        <f>MAX((E5+E16),0)</f>
        <v>854.24729330745208</v>
      </c>
      <c r="F18" s="21">
        <f>MAX((F5+F16),0)</f>
        <v>3365.6941232802701</v>
      </c>
      <c r="G18" s="21"/>
      <c r="H18" s="21"/>
      <c r="I18" s="21"/>
      <c r="J18" s="21">
        <f>MAX((J5+J16),0)</f>
        <v>18.64487860971526</v>
      </c>
      <c r="K18" s="21"/>
      <c r="L18" s="21">
        <f>MAX((L5+L16),0)</f>
        <v>0</v>
      </c>
      <c r="M18" s="21"/>
      <c r="N18" s="21">
        <f>MAX((N5+N16),0)</f>
        <v>567.76620981912129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0.17879928146962276</v>
      </c>
      <c r="C20" s="25">
        <f ca="1">'EF ele_warmte'!B22</f>
        <v>0.19489699586911913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1821.3342094962964</v>
      </c>
      <c r="C22" s="23">
        <f ca="1">C18*C20</f>
        <v>0</v>
      </c>
      <c r="D22" s="23">
        <f>D18*D20</f>
        <v>607.38228630659125</v>
      </c>
      <c r="E22" s="23">
        <f>E18*E20</f>
        <v>193.91413558079162</v>
      </c>
      <c r="F22" s="23">
        <f>F18*F20</f>
        <v>898.64033091583212</v>
      </c>
      <c r="G22" s="23"/>
      <c r="H22" s="23"/>
      <c r="I22" s="23"/>
      <c r="J22" s="23">
        <f>J18*J20</f>
        <v>6.6002870278392018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1206.8723692282899</v>
      </c>
      <c r="C30" s="39">
        <f>IF(ISERROR(B30*3.6/1000000/'E Balans VL '!Z18*100),0,B30*3.6/1000000/'E Balans VL '!Z18*100)</f>
        <v>0.11875316031508931</v>
      </c>
      <c r="D30" s="235" t="s">
        <v>647</v>
      </c>
    </row>
    <row r="31" spans="1:18">
      <c r="A31" s="6" t="s">
        <v>32</v>
      </c>
      <c r="B31" s="37">
        <f>IF( ISERROR(IND_ander_ele_kWh/1000),0,IND_ander_ele_kWh/1000)</f>
        <v>1452.2701921970499</v>
      </c>
      <c r="C31" s="39">
        <f>IF(ISERROR(B31*3.6/1000000/'E Balans VL '!Z19*100),0,B31*3.6/1000000/'E Balans VL '!Z19*100)</f>
        <v>6.3245208405660835E-2</v>
      </c>
      <c r="D31" s="235" t="s">
        <v>647</v>
      </c>
    </row>
    <row r="32" spans="1:18">
      <c r="A32" s="170" t="s">
        <v>40</v>
      </c>
      <c r="B32" s="37">
        <f>IF( ISERROR(IND_voed_ele_kWh/1000),0,IND_voed_ele_kWh/1000)</f>
        <v>254.191012480529</v>
      </c>
      <c r="C32" s="39">
        <f>IF(ISERROR(B32*3.6/1000000/'E Balans VL '!Z20*100),0,B32*3.6/1000000/'E Balans VL '!Z20*100)</f>
        <v>4.8229078784985405E-2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7273.1403007429699</v>
      </c>
      <c r="C37" s="39">
        <f>IF(ISERROR(B37*3.6/1000000/'E Balans VL '!Z15*100),0,B37*3.6/1000000/'E Balans VL '!Z15*100)</f>
        <v>5.6048479274913313E-2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7922.8607022272254</v>
      </c>
      <c r="C5" s="17">
        <f>'Eigen informatie GS &amp; warmtenet'!B60</f>
        <v>0</v>
      </c>
      <c r="D5" s="30">
        <f>IF(ISERROR(SUM(LB_lb_gas_kWh,LB_rest_gas_kWh)/1000),0,SUM(LB_lb_gas_kWh,LB_rest_gas_kWh)/1000)*0.902</f>
        <v>3852.2791359160556</v>
      </c>
      <c r="E5" s="17">
        <f>B17*'E Balans VL '!I25/3.6*1000000/100</f>
        <v>164.51590609174548</v>
      </c>
      <c r="F5" s="17">
        <f>B17*('E Balans VL '!L25/3.6*1000000+'E Balans VL '!N25/3.6*1000000)/100</f>
        <v>27999.591889934793</v>
      </c>
      <c r="G5" s="18"/>
      <c r="H5" s="17"/>
      <c r="I5" s="17"/>
      <c r="J5" s="17">
        <f>('E Balans VL '!D25+'E Balans VL '!E25)/3.6*1000000*landbouw!B17/100</f>
        <v>908.7020117958225</v>
      </c>
      <c r="K5" s="17"/>
      <c r="L5" s="17">
        <f>L6*(-1)</f>
        <v>0</v>
      </c>
      <c r="M5" s="17"/>
      <c r="N5" s="17">
        <f>N6*(-1)</f>
        <v>25392.857142857145</v>
      </c>
      <c r="O5" s="17"/>
      <c r="P5" s="17"/>
      <c r="R5" s="32"/>
    </row>
    <row r="6" spans="1:18">
      <c r="A6" s="16" t="s">
        <v>483</v>
      </c>
      <c r="B6" s="17" t="s">
        <v>204</v>
      </c>
      <c r="C6" s="17">
        <f>'lokale energieproductie'!O41+'lokale energieproductie'!O34</f>
        <v>70579.28571428571</v>
      </c>
      <c r="D6" s="305">
        <f>('lokale energieproductie'!P34+'lokale energieproductie'!P41)*(-1)</f>
        <v>-115765.71428571429</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-25392.857142857145</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7922.8607022272254</v>
      </c>
      <c r="C8" s="21">
        <f>C5+C6</f>
        <v>70579.28571428571</v>
      </c>
      <c r="D8" s="21">
        <f>MAX((D5+D6),0)</f>
        <v>0</v>
      </c>
      <c r="E8" s="21">
        <f>MAX((E5+E6),0)</f>
        <v>164.51590609174548</v>
      </c>
      <c r="F8" s="21">
        <f>MAX((F5+F6),0)</f>
        <v>27999.591889934793</v>
      </c>
      <c r="G8" s="21"/>
      <c r="H8" s="21"/>
      <c r="I8" s="21"/>
      <c r="J8" s="21">
        <f>MAX((J5+J6),0)</f>
        <v>908.7020117958225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0.17879928146962276</v>
      </c>
      <c r="C10" s="31">
        <f ca="1">'EF ele_warmte'!B22</f>
        <v>0.19489699586911913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1416.6018007421387</v>
      </c>
      <c r="C12" s="23">
        <f ca="1">C8*C10</f>
        <v>13755.690756302522</v>
      </c>
      <c r="D12" s="23">
        <f>D8*D10</f>
        <v>0</v>
      </c>
      <c r="E12" s="23">
        <f>E8*E10</f>
        <v>37.345110682826224</v>
      </c>
      <c r="F12" s="23">
        <f>F8*F10</f>
        <v>7475.8910346125904</v>
      </c>
      <c r="G12" s="23"/>
      <c r="H12" s="23"/>
      <c r="I12" s="23"/>
      <c r="J12" s="23">
        <f>J8*J10</f>
        <v>321.68051217572116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1.104989353886342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441.74900998976386</v>
      </c>
      <c r="C26" s="245">
        <f>B26*'GWP N2O_CH4'!B5</f>
        <v>9276.7292097850404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581.09071977621034</v>
      </c>
      <c r="C27" s="245">
        <f>B27*'GWP N2O_CH4'!B5</f>
        <v>12202.905115300417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8.308097788634468</v>
      </c>
      <c r="C28" s="245">
        <f>B28*'GWP N2O_CH4'!B4</f>
        <v>2575.5103144766849</v>
      </c>
      <c r="D28" s="50"/>
    </row>
    <row r="29" spans="1:4">
      <c r="A29" s="41" t="s">
        <v>266</v>
      </c>
      <c r="B29" s="245">
        <f>B34*'ha_N2O bodem landbouw'!B4</f>
        <v>14.89156038919622</v>
      </c>
      <c r="C29" s="245">
        <f>B29*'GWP N2O_CH4'!B4</f>
        <v>4616.3837206508279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3.7182738285578302E-3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1.7511149840262165E-5</v>
      </c>
      <c r="C5" s="434" t="s">
        <v>204</v>
      </c>
      <c r="D5" s="419">
        <f>SUM(D6:D11)</f>
        <v>1.6495454437003368E-5</v>
      </c>
      <c r="E5" s="419">
        <f>SUM(E6:E11)</f>
        <v>5.8557925684430139E-4</v>
      </c>
      <c r="F5" s="432" t="s">
        <v>204</v>
      </c>
      <c r="G5" s="419">
        <f>SUM(G6:G11)</f>
        <v>0.18704718860869829</v>
      </c>
      <c r="H5" s="419">
        <f>SUM(H6:H11)</f>
        <v>3.0114968643285479E-2</v>
      </c>
      <c r="I5" s="434" t="s">
        <v>204</v>
      </c>
      <c r="J5" s="434" t="s">
        <v>204</v>
      </c>
      <c r="K5" s="434" t="s">
        <v>204</v>
      </c>
      <c r="L5" s="434" t="s">
        <v>204</v>
      </c>
      <c r="M5" s="419">
        <f>SUM(M6:M11)</f>
        <v>9.818144156192166E-3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1.4404631716454696E-5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1.277702275821869E-5</v>
      </c>
      <c r="E6" s="836">
        <f>vkm_GW_PW*SUMIFS(TableVerdeelsleutelVkm[LPG],TableVerdeelsleutelVkm[Voertuigtype],"Lichte voertuigen")*SUMIFS(TableECFTransport[EnergieConsumptieFactor (PJ per km)],TableECFTransport[Index],CONCATENATE($A6,"_LPG_LPG"))</f>
        <v>4.5881234201263573E-4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9.1209338526555384E-2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2.3545135696589451E-2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5.1915140963632641E-3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3.7684524827647458E-7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5.8970678193060969E-2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1.5512584425658664E-6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2.6626264225497517E-3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2.6645399713151025E-6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3.7184316787846792E-6</v>
      </c>
      <c r="E8" s="422">
        <f>vkm_NGW_PW*SUMIFS(TableVerdeelsleutelVkm[LPG],TableVerdeelsleutelVkm[Voertuigtype],"Lichte voertuigen")*SUMIFS(TableECFTransport[EnergieConsumptieFactor (PJ per km)],TableECFTransport[Index],CONCATENATE($A8,"_LPG_LPG"))</f>
        <v>1.2676691483166569E-4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2.3774943497732983E-2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6.5679580662782793E-3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1.3728682042464841E-3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6.5132904215892725E-8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1.309222839134897E-2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3.2362197518466748E-7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5.9113543303266714E-4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4.8642082889617129</v>
      </c>
      <c r="C14" s="21"/>
      <c r="D14" s="21">
        <f t="shared" ref="D14:M14" si="0">((D5)*10^9/3600)+D12</f>
        <v>4.5820706769453805</v>
      </c>
      <c r="E14" s="21">
        <f t="shared" si="0"/>
        <v>162.6609046789726</v>
      </c>
      <c r="F14" s="21"/>
      <c r="G14" s="21">
        <f t="shared" si="0"/>
        <v>51957.552391305078</v>
      </c>
      <c r="H14" s="21">
        <f t="shared" si="0"/>
        <v>8365.2690675793001</v>
      </c>
      <c r="I14" s="21"/>
      <c r="J14" s="21"/>
      <c r="K14" s="21"/>
      <c r="L14" s="21"/>
      <c r="M14" s="21">
        <f t="shared" si="0"/>
        <v>2727.2622656089352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0.17879928146962276</v>
      </c>
      <c r="C16" s="56">
        <f ca="1">'EF ele_warmte'!B22</f>
        <v>0.19489699586911913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0.8697169469849374</v>
      </c>
      <c r="C18" s="23"/>
      <c r="D18" s="23">
        <f t="shared" ref="D18:M18" si="1">D14*D16</f>
        <v>0.92557827674296689</v>
      </c>
      <c r="E18" s="23">
        <f t="shared" si="1"/>
        <v>36.924025362126784</v>
      </c>
      <c r="F18" s="23"/>
      <c r="G18" s="23">
        <f t="shared" si="1"/>
        <v>13872.666488478457</v>
      </c>
      <c r="H18" s="23">
        <f t="shared" si="1"/>
        <v>2082.9519978272456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1.1314381627393158E-5</v>
      </c>
      <c r="C50" s="316">
        <f t="shared" ref="C50:P50" si="2">SUM(C51:C52)</f>
        <v>0</v>
      </c>
      <c r="D50" s="316">
        <f t="shared" si="2"/>
        <v>0</v>
      </c>
      <c r="E50" s="316">
        <f t="shared" si="2"/>
        <v>0</v>
      </c>
      <c r="F50" s="316">
        <f t="shared" si="2"/>
        <v>0</v>
      </c>
      <c r="G50" s="316">
        <f t="shared" si="2"/>
        <v>2.2022803625538889E-3</v>
      </c>
      <c r="H50" s="316">
        <f t="shared" si="2"/>
        <v>0</v>
      </c>
      <c r="I50" s="316">
        <f t="shared" si="2"/>
        <v>0</v>
      </c>
      <c r="J50" s="316">
        <f t="shared" si="2"/>
        <v>0</v>
      </c>
      <c r="K50" s="316">
        <f t="shared" si="2"/>
        <v>0</v>
      </c>
      <c r="L50" s="316">
        <f t="shared" si="2"/>
        <v>0</v>
      </c>
      <c r="M50" s="316">
        <f t="shared" si="2"/>
        <v>9.8752101956734497E-5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1.1314381627393158E-5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2.2022803625538889E-3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9.8752101956734497E-5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3.1428837853869886</v>
      </c>
      <c r="C54" s="21">
        <f t="shared" ref="C54:P54" si="3">(C50)*10^9/3600</f>
        <v>0</v>
      </c>
      <c r="D54" s="21">
        <f t="shared" si="3"/>
        <v>0</v>
      </c>
      <c r="E54" s="21">
        <f t="shared" si="3"/>
        <v>0</v>
      </c>
      <c r="F54" s="21">
        <f t="shared" si="3"/>
        <v>0</v>
      </c>
      <c r="G54" s="21">
        <f t="shared" si="3"/>
        <v>611.74454515385798</v>
      </c>
      <c r="H54" s="21">
        <f t="shared" si="3"/>
        <v>0</v>
      </c>
      <c r="I54" s="21">
        <f t="shared" si="3"/>
        <v>0</v>
      </c>
      <c r="J54" s="21">
        <f t="shared" si="3"/>
        <v>0</v>
      </c>
      <c r="K54" s="21">
        <f t="shared" si="3"/>
        <v>0</v>
      </c>
      <c r="L54" s="21">
        <f t="shared" si="3"/>
        <v>0</v>
      </c>
      <c r="M54" s="21">
        <f t="shared" si="3"/>
        <v>27.431139432426249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0.17879928146962276</v>
      </c>
      <c r="C56" s="56">
        <f ca="1">'EF ele_warmte'!B22</f>
        <v>0.19489699586911913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0.56194536256972161</v>
      </c>
      <c r="C58" s="23">
        <f t="shared" ref="C58:P58" ca="1" si="4">C54*C56</f>
        <v>0</v>
      </c>
      <c r="D58" s="23">
        <f t="shared" si="4"/>
        <v>0</v>
      </c>
      <c r="E58" s="23">
        <f t="shared" si="4"/>
        <v>0</v>
      </c>
      <c r="F58" s="23">
        <f t="shared" si="4"/>
        <v>0</v>
      </c>
      <c r="G58" s="23">
        <f t="shared" si="4"/>
        <v>163.33579355608009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4448.0918615964256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49405.5</v>
      </c>
      <c r="C8" s="546">
        <f>B50</f>
        <v>47668.23529411765</v>
      </c>
      <c r="D8" s="963"/>
      <c r="E8" s="963">
        <f>E50</f>
        <v>0</v>
      </c>
      <c r="F8" s="964"/>
      <c r="G8" s="547"/>
      <c r="H8" s="963">
        <f>I50</f>
        <v>0</v>
      </c>
      <c r="I8" s="963">
        <f>G50+F50</f>
        <v>0</v>
      </c>
      <c r="J8" s="963">
        <f>H50+D50+C50</f>
        <v>10455.882352941178</v>
      </c>
      <c r="K8" s="963"/>
      <c r="L8" s="963"/>
      <c r="M8" s="963"/>
      <c r="N8" s="548"/>
      <c r="O8" s="549">
        <f>C8*$C$12+D8*$D$12+E8*$E$12+F8*$F$12+G8*$G$12+H8*$H$12+I8*$I$12+J8*$J$12</f>
        <v>9628.9835294117656</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53853.591861596426</v>
      </c>
      <c r="C10" s="559">
        <f t="shared" ref="C10:L10" si="0">SUM(C8:C9)</f>
        <v>47668.23529411765</v>
      </c>
      <c r="D10" s="559">
        <f t="shared" si="0"/>
        <v>0</v>
      </c>
      <c r="E10" s="559">
        <f t="shared" si="0"/>
        <v>0</v>
      </c>
      <c r="F10" s="559">
        <f t="shared" si="0"/>
        <v>0</v>
      </c>
      <c r="G10" s="559">
        <f t="shared" si="0"/>
        <v>0</v>
      </c>
      <c r="H10" s="559">
        <f t="shared" si="0"/>
        <v>0</v>
      </c>
      <c r="I10" s="559">
        <f t="shared" si="0"/>
        <v>0</v>
      </c>
      <c r="J10" s="559">
        <f t="shared" si="0"/>
        <v>10455.882352941178</v>
      </c>
      <c r="K10" s="559">
        <f t="shared" si="0"/>
        <v>0</v>
      </c>
      <c r="L10" s="559">
        <f t="shared" si="0"/>
        <v>0</v>
      </c>
      <c r="M10" s="966"/>
      <c r="N10" s="966"/>
      <c r="O10" s="560">
        <f>SUM(O4:O9)</f>
        <v>9628.9835294117656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70579.28571428571</v>
      </c>
      <c r="C17" s="571">
        <f>B51</f>
        <v>68097.478991596639</v>
      </c>
      <c r="D17" s="572"/>
      <c r="E17" s="572">
        <f>E51</f>
        <v>0</v>
      </c>
      <c r="F17" s="969"/>
      <c r="G17" s="573"/>
      <c r="H17" s="571">
        <f>I51</f>
        <v>0</v>
      </c>
      <c r="I17" s="572">
        <f>G51+F51</f>
        <v>0</v>
      </c>
      <c r="J17" s="572">
        <f>H51+D51+C51</f>
        <v>14936.974789915968</v>
      </c>
      <c r="K17" s="572"/>
      <c r="L17" s="572"/>
      <c r="M17" s="572"/>
      <c r="N17" s="970"/>
      <c r="O17" s="574">
        <f>C17*$C$22+E17*$E$22+H17*$H$22+I17*$I$22+J17*$J$22+D17*$D$22+F17*$F$22+G17*$G$22+K17*$K$22+L17*$L$22</f>
        <v>13755.690756302522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70579.28571428571</v>
      </c>
      <c r="C20" s="558">
        <f>SUM(C17:C19)</f>
        <v>68097.478991596639</v>
      </c>
      <c r="D20" s="558">
        <f t="shared" ref="D20:L20" si="1">SUM(D17:D19)</f>
        <v>0</v>
      </c>
      <c r="E20" s="558">
        <f t="shared" si="1"/>
        <v>0</v>
      </c>
      <c r="F20" s="558">
        <f t="shared" si="1"/>
        <v>0</v>
      </c>
      <c r="G20" s="558">
        <f t="shared" si="1"/>
        <v>0</v>
      </c>
      <c r="H20" s="558">
        <f t="shared" si="1"/>
        <v>0</v>
      </c>
      <c r="I20" s="558">
        <f t="shared" si="1"/>
        <v>0</v>
      </c>
      <c r="J20" s="558">
        <f t="shared" si="1"/>
        <v>14936.974789915968</v>
      </c>
      <c r="K20" s="558">
        <f t="shared" si="1"/>
        <v>0</v>
      </c>
      <c r="L20" s="558">
        <f t="shared" si="1"/>
        <v>0</v>
      </c>
      <c r="M20" s="558"/>
      <c r="N20" s="558"/>
      <c r="O20" s="578">
        <f>SUM(O17:O19)</f>
        <v>13755.690756302522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37011</v>
      </c>
      <c r="C28" s="741">
        <v>8740</v>
      </c>
      <c r="D28" s="630"/>
      <c r="E28" s="629"/>
      <c r="F28" s="629"/>
      <c r="G28" s="629" t="s">
        <v>908</v>
      </c>
      <c r="H28" s="629" t="s">
        <v>909</v>
      </c>
      <c r="I28" s="629"/>
      <c r="J28" s="740"/>
      <c r="K28" s="740"/>
      <c r="L28" s="629" t="s">
        <v>910</v>
      </c>
      <c r="M28" s="629">
        <v>1975</v>
      </c>
      <c r="N28" s="629">
        <v>8887.5</v>
      </c>
      <c r="O28" s="629">
        <v>12696.428571428572</v>
      </c>
      <c r="P28" s="629">
        <v>0</v>
      </c>
      <c r="Q28" s="629">
        <v>25392.857142857145</v>
      </c>
      <c r="R28" s="629">
        <v>0</v>
      </c>
      <c r="S28" s="629">
        <v>0</v>
      </c>
      <c r="T28" s="629">
        <v>0</v>
      </c>
      <c r="U28" s="629">
        <v>0</v>
      </c>
      <c r="V28" s="629">
        <v>0</v>
      </c>
      <c r="W28" s="629">
        <v>0</v>
      </c>
      <c r="X28" s="629"/>
      <c r="Y28" s="629">
        <v>10</v>
      </c>
      <c r="Z28" s="629" t="s">
        <v>105</v>
      </c>
      <c r="AA28" s="631" t="s">
        <v>105</v>
      </c>
    </row>
    <row r="29" spans="1:27" s="583" customFormat="1" ht="25.5" hidden="1">
      <c r="A29" s="582"/>
      <c r="B29" s="741">
        <v>37011</v>
      </c>
      <c r="C29" s="741">
        <v>8740</v>
      </c>
      <c r="D29" s="630"/>
      <c r="E29" s="629"/>
      <c r="F29" s="629"/>
      <c r="G29" s="629" t="s">
        <v>908</v>
      </c>
      <c r="H29" s="629" t="s">
        <v>909</v>
      </c>
      <c r="I29" s="629"/>
      <c r="J29" s="740"/>
      <c r="K29" s="740"/>
      <c r="L29" s="629" t="s">
        <v>910</v>
      </c>
      <c r="M29" s="629">
        <v>70</v>
      </c>
      <c r="N29" s="629">
        <v>315.00000000000006</v>
      </c>
      <c r="O29" s="629">
        <v>450.00000000000011</v>
      </c>
      <c r="P29" s="629">
        <v>900.00000000000023</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37011</v>
      </c>
      <c r="C30" s="741">
        <v>8740</v>
      </c>
      <c r="D30" s="630"/>
      <c r="E30" s="629"/>
      <c r="F30" s="629"/>
      <c r="G30" s="629" t="s">
        <v>908</v>
      </c>
      <c r="H30" s="629" t="s">
        <v>909</v>
      </c>
      <c r="I30" s="629"/>
      <c r="J30" s="740"/>
      <c r="K30" s="740"/>
      <c r="L30" s="629" t="s">
        <v>910</v>
      </c>
      <c r="M30" s="629">
        <v>8934</v>
      </c>
      <c r="N30" s="629">
        <v>40203</v>
      </c>
      <c r="O30" s="629">
        <v>57432.857142857145</v>
      </c>
      <c r="P30" s="629">
        <v>114865.71428571429</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10979</v>
      </c>
      <c r="N31" s="587">
        <f>SUM(N28:N30)</f>
        <v>49405.5</v>
      </c>
      <c r="O31" s="587">
        <f>SUM(O28:O30)</f>
        <v>70579.28571428571</v>
      </c>
      <c r="P31" s="587">
        <f>SUM(P28:P30)</f>
        <v>115765.71428571429</v>
      </c>
      <c r="Q31" s="587">
        <f>SUM(Q28:Q30)</f>
        <v>25392.857142857145</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0</v>
      </c>
      <c r="N33" s="587">
        <f ca="1">SUMIF($AA$28:AE30,"tertiair",N28:N30)</f>
        <v>0</v>
      </c>
      <c r="O33" s="587">
        <f ca="1">SUMIF($AA$28:AF30,"tertiair",O28:O30)</f>
        <v>0</v>
      </c>
      <c r="P33" s="587">
        <f ca="1">SUMIF($AA$28:AG30,"tertiair",P28:P30)</f>
        <v>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10979</v>
      </c>
      <c r="N34" s="592">
        <f>SUMIF($AA$28:$AA$30,"landbouw",N28:N30)</f>
        <v>49405.5</v>
      </c>
      <c r="O34" s="592">
        <f>SUMIF($AA$28:$AA$30,"landbouw",O28:O30)</f>
        <v>70579.28571428571</v>
      </c>
      <c r="P34" s="592">
        <f>SUMIF($AA$28:$AA$30,"landbouw",P28:P30)</f>
        <v>115765.71428571429</v>
      </c>
      <c r="Q34" s="592">
        <f>SUMIF($AA$28:$AA$30,"landbouw",Q28:Q30)</f>
        <v>25392.857142857145</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0.41176470588235298</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47668.23529411765</v>
      </c>
      <c r="C50" s="621">
        <f t="shared" si="2"/>
        <v>10455.882352941178</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68097.478991596639</v>
      </c>
      <c r="C51" s="624">
        <f t="shared" si="3"/>
        <v>14936.974789915968</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13728.815571518557</v>
      </c>
      <c r="D10" s="640">
        <f ca="1">tertiair!C16</f>
        <v>0</v>
      </c>
      <c r="E10" s="640">
        <f ca="1">tertiair!D16</f>
        <v>14362.988338372743</v>
      </c>
      <c r="F10" s="640">
        <f>tertiair!E16</f>
        <v>70.589662178836278</v>
      </c>
      <c r="G10" s="640">
        <f ca="1">tertiair!F16</f>
        <v>1497.0381756880247</v>
      </c>
      <c r="H10" s="640">
        <f>tertiair!G16</f>
        <v>0</v>
      </c>
      <c r="I10" s="640">
        <f>tertiair!H16</f>
        <v>0</v>
      </c>
      <c r="J10" s="640">
        <f>tertiair!I16</f>
        <v>0</v>
      </c>
      <c r="K10" s="640">
        <f>tertiair!J16</f>
        <v>12.078819735085233</v>
      </c>
      <c r="L10" s="640">
        <f>tertiair!K16</f>
        <v>0</v>
      </c>
      <c r="M10" s="640">
        <f ca="1">tertiair!L16</f>
        <v>0</v>
      </c>
      <c r="N10" s="640">
        <f>tertiair!M16</f>
        <v>0</v>
      </c>
      <c r="O10" s="640">
        <f ca="1">tertiair!N16</f>
        <v>1124.1563213892462</v>
      </c>
      <c r="P10" s="640">
        <f>tertiair!O16</f>
        <v>0</v>
      </c>
      <c r="Q10" s="641">
        <f>tertiair!P16</f>
        <v>0</v>
      </c>
      <c r="R10" s="643">
        <f ca="1">SUM(C10:Q10)</f>
        <v>30795.666888882493</v>
      </c>
      <c r="S10" s="67"/>
    </row>
    <row r="11" spans="1:19" s="444" customFormat="1">
      <c r="A11" s="754" t="s">
        <v>214</v>
      </c>
      <c r="B11" s="759"/>
      <c r="C11" s="640">
        <f>huishoudens!B8</f>
        <v>12604.496060892396</v>
      </c>
      <c r="D11" s="640">
        <f>huishoudens!C8</f>
        <v>0</v>
      </c>
      <c r="E11" s="640">
        <f>huishoudens!D8</f>
        <v>24931.732241030233</v>
      </c>
      <c r="F11" s="640">
        <f>huishoudens!E8</f>
        <v>719.02895485848887</v>
      </c>
      <c r="G11" s="640">
        <f>huishoudens!F8</f>
        <v>22034.982247316966</v>
      </c>
      <c r="H11" s="640">
        <f>huishoudens!G8</f>
        <v>0</v>
      </c>
      <c r="I11" s="640">
        <f>huishoudens!H8</f>
        <v>0</v>
      </c>
      <c r="J11" s="640">
        <f>huishoudens!I8</f>
        <v>0</v>
      </c>
      <c r="K11" s="640">
        <f>huishoudens!J8</f>
        <v>417.29868827191251</v>
      </c>
      <c r="L11" s="640">
        <f>huishoudens!K8</f>
        <v>0</v>
      </c>
      <c r="M11" s="640">
        <f>huishoudens!L8</f>
        <v>0</v>
      </c>
      <c r="N11" s="640">
        <f>huishoudens!M8</f>
        <v>0</v>
      </c>
      <c r="O11" s="640">
        <f>huishoudens!N8</f>
        <v>4272.2724445339572</v>
      </c>
      <c r="P11" s="640">
        <f>huishoudens!O8</f>
        <v>50.026666666666671</v>
      </c>
      <c r="Q11" s="641">
        <f>huishoudens!P8</f>
        <v>133.46666666666667</v>
      </c>
      <c r="R11" s="643">
        <f>SUM(C11:Q11)</f>
        <v>65163.303970237292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10186.473874648838</v>
      </c>
      <c r="D13" s="640">
        <f>industrie!C18</f>
        <v>0</v>
      </c>
      <c r="E13" s="640">
        <f>industrie!D18</f>
        <v>3006.8430015177782</v>
      </c>
      <c r="F13" s="640">
        <f>industrie!E18</f>
        <v>854.24729330745208</v>
      </c>
      <c r="G13" s="640">
        <f>industrie!F18</f>
        <v>3365.6941232802701</v>
      </c>
      <c r="H13" s="640">
        <f>industrie!G18</f>
        <v>0</v>
      </c>
      <c r="I13" s="640">
        <f>industrie!H18</f>
        <v>0</v>
      </c>
      <c r="J13" s="640">
        <f>industrie!I18</f>
        <v>0</v>
      </c>
      <c r="K13" s="640">
        <f>industrie!J18</f>
        <v>18.64487860971526</v>
      </c>
      <c r="L13" s="640">
        <f>industrie!K18</f>
        <v>0</v>
      </c>
      <c r="M13" s="640">
        <f>industrie!L18</f>
        <v>0</v>
      </c>
      <c r="N13" s="640">
        <f>industrie!M18</f>
        <v>0</v>
      </c>
      <c r="O13" s="640">
        <f>industrie!N18</f>
        <v>567.76620981912129</v>
      </c>
      <c r="P13" s="640">
        <f>industrie!O18</f>
        <v>0</v>
      </c>
      <c r="Q13" s="641">
        <f>industrie!P18</f>
        <v>0</v>
      </c>
      <c r="R13" s="643">
        <f>SUM(C13:Q13)</f>
        <v>17999.669381183172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36519.785507059787</v>
      </c>
      <c r="D16" s="675">
        <f t="shared" ref="D16:R16" ca="1" si="0">SUM(D9:D15)</f>
        <v>0</v>
      </c>
      <c r="E16" s="675">
        <f t="shared" ca="1" si="0"/>
        <v>42301.563580920752</v>
      </c>
      <c r="F16" s="675">
        <f t="shared" si="0"/>
        <v>1643.8659103447771</v>
      </c>
      <c r="G16" s="675">
        <f t="shared" ca="1" si="0"/>
        <v>26897.71454628526</v>
      </c>
      <c r="H16" s="675">
        <f t="shared" si="0"/>
        <v>0</v>
      </c>
      <c r="I16" s="675">
        <f t="shared" si="0"/>
        <v>0</v>
      </c>
      <c r="J16" s="675">
        <f t="shared" si="0"/>
        <v>0</v>
      </c>
      <c r="K16" s="675">
        <f t="shared" si="0"/>
        <v>448.02238661671299</v>
      </c>
      <c r="L16" s="675">
        <f t="shared" si="0"/>
        <v>0</v>
      </c>
      <c r="M16" s="675">
        <f t="shared" ca="1" si="0"/>
        <v>0</v>
      </c>
      <c r="N16" s="675">
        <f t="shared" si="0"/>
        <v>0</v>
      </c>
      <c r="O16" s="675">
        <f t="shared" ca="1" si="0"/>
        <v>5964.1949757423245</v>
      </c>
      <c r="P16" s="675">
        <f t="shared" si="0"/>
        <v>50.026666666666671</v>
      </c>
      <c r="Q16" s="675">
        <f t="shared" si="0"/>
        <v>133.46666666666667</v>
      </c>
      <c r="R16" s="675">
        <f t="shared" ca="1" si="0"/>
        <v>113958.64024030295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3.1428837853869886</v>
      </c>
      <c r="D19" s="640">
        <f>transport!C54</f>
        <v>0</v>
      </c>
      <c r="E19" s="640">
        <f>transport!D54</f>
        <v>0</v>
      </c>
      <c r="F19" s="640">
        <f>transport!E54</f>
        <v>0</v>
      </c>
      <c r="G19" s="640">
        <f>transport!F54</f>
        <v>0</v>
      </c>
      <c r="H19" s="640">
        <f>transport!G54</f>
        <v>611.74454515385798</v>
      </c>
      <c r="I19" s="640">
        <f>transport!H54</f>
        <v>0</v>
      </c>
      <c r="J19" s="640">
        <f>transport!I54</f>
        <v>0</v>
      </c>
      <c r="K19" s="640">
        <f>transport!J54</f>
        <v>0</v>
      </c>
      <c r="L19" s="640">
        <f>transport!K54</f>
        <v>0</v>
      </c>
      <c r="M19" s="640">
        <f>transport!L54</f>
        <v>0</v>
      </c>
      <c r="N19" s="640">
        <f>transport!M54</f>
        <v>27.431139432426249</v>
      </c>
      <c r="O19" s="640">
        <f>transport!N54</f>
        <v>0</v>
      </c>
      <c r="P19" s="640">
        <f>transport!O54</f>
        <v>0</v>
      </c>
      <c r="Q19" s="641">
        <f>transport!P54</f>
        <v>0</v>
      </c>
      <c r="R19" s="643">
        <f>SUM(C19:Q19)</f>
        <v>642.31856837167118</v>
      </c>
      <c r="S19" s="67"/>
    </row>
    <row r="20" spans="1:19" s="444" customFormat="1">
      <c r="A20" s="754" t="s">
        <v>296</v>
      </c>
      <c r="B20" s="759"/>
      <c r="C20" s="640">
        <f>transport!B14</f>
        <v>4.8642082889617129</v>
      </c>
      <c r="D20" s="640">
        <f>transport!C14</f>
        <v>0</v>
      </c>
      <c r="E20" s="640">
        <f>transport!D14</f>
        <v>4.5820706769453805</v>
      </c>
      <c r="F20" s="640">
        <f>transport!E14</f>
        <v>162.6609046789726</v>
      </c>
      <c r="G20" s="640">
        <f>transport!F14</f>
        <v>0</v>
      </c>
      <c r="H20" s="640">
        <f>transport!G14</f>
        <v>51957.552391305078</v>
      </c>
      <c r="I20" s="640">
        <f>transport!H14</f>
        <v>8365.2690675793001</v>
      </c>
      <c r="J20" s="640">
        <f>transport!I14</f>
        <v>0</v>
      </c>
      <c r="K20" s="640">
        <f>transport!J14</f>
        <v>0</v>
      </c>
      <c r="L20" s="640">
        <f>transport!K14</f>
        <v>0</v>
      </c>
      <c r="M20" s="640">
        <f>transport!L14</f>
        <v>0</v>
      </c>
      <c r="N20" s="640">
        <f>transport!M14</f>
        <v>2727.2622656089352</v>
      </c>
      <c r="O20" s="640">
        <f>transport!N14</f>
        <v>0</v>
      </c>
      <c r="P20" s="640">
        <f>transport!O14</f>
        <v>0</v>
      </c>
      <c r="Q20" s="641">
        <f>transport!P14</f>
        <v>0</v>
      </c>
      <c r="R20" s="643">
        <f>SUM(C20:Q20)</f>
        <v>63222.190908138196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8.0070920743487015</v>
      </c>
      <c r="D22" s="757">
        <f t="shared" ref="D22:R22" si="1">SUM(D18:D21)</f>
        <v>0</v>
      </c>
      <c r="E22" s="757">
        <f t="shared" si="1"/>
        <v>4.5820706769453805</v>
      </c>
      <c r="F22" s="757">
        <f t="shared" si="1"/>
        <v>162.6609046789726</v>
      </c>
      <c r="G22" s="757">
        <f t="shared" si="1"/>
        <v>0</v>
      </c>
      <c r="H22" s="757">
        <f t="shared" si="1"/>
        <v>52569.296936458937</v>
      </c>
      <c r="I22" s="757">
        <f t="shared" si="1"/>
        <v>8365.2690675793001</v>
      </c>
      <c r="J22" s="757">
        <f t="shared" si="1"/>
        <v>0</v>
      </c>
      <c r="K22" s="757">
        <f t="shared" si="1"/>
        <v>0</v>
      </c>
      <c r="L22" s="757">
        <f t="shared" si="1"/>
        <v>0</v>
      </c>
      <c r="M22" s="757">
        <f t="shared" si="1"/>
        <v>0</v>
      </c>
      <c r="N22" s="757">
        <f t="shared" si="1"/>
        <v>2754.6934050413615</v>
      </c>
      <c r="O22" s="757">
        <f t="shared" si="1"/>
        <v>0</v>
      </c>
      <c r="P22" s="757">
        <f t="shared" si="1"/>
        <v>0</v>
      </c>
      <c r="Q22" s="757">
        <f t="shared" si="1"/>
        <v>0</v>
      </c>
      <c r="R22" s="757">
        <f t="shared" si="1"/>
        <v>63864.509476509869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7922.8607022272254</v>
      </c>
      <c r="D24" s="640">
        <f>+landbouw!C8</f>
        <v>70579.28571428571</v>
      </c>
      <c r="E24" s="640">
        <f>+landbouw!D8</f>
        <v>0</v>
      </c>
      <c r="F24" s="640">
        <f>+landbouw!E8</f>
        <v>164.51590609174548</v>
      </c>
      <c r="G24" s="640">
        <f>+landbouw!F8</f>
        <v>27999.591889934793</v>
      </c>
      <c r="H24" s="640">
        <f>+landbouw!G8</f>
        <v>0</v>
      </c>
      <c r="I24" s="640">
        <f>+landbouw!H8</f>
        <v>0</v>
      </c>
      <c r="J24" s="640">
        <f>+landbouw!I8</f>
        <v>0</v>
      </c>
      <c r="K24" s="640">
        <f>+landbouw!J8</f>
        <v>908.7020117958225</v>
      </c>
      <c r="L24" s="640">
        <f>+landbouw!K8</f>
        <v>0</v>
      </c>
      <c r="M24" s="640">
        <f>+landbouw!L8</f>
        <v>0</v>
      </c>
      <c r="N24" s="640">
        <f>+landbouw!M8</f>
        <v>0</v>
      </c>
      <c r="O24" s="640">
        <f>+landbouw!N8</f>
        <v>0</v>
      </c>
      <c r="P24" s="640">
        <f>+landbouw!O8</f>
        <v>0</v>
      </c>
      <c r="Q24" s="641">
        <f>+landbouw!P8</f>
        <v>0</v>
      </c>
      <c r="R24" s="643">
        <f>SUM(C24:Q24)</f>
        <v>107574.95622433528</v>
      </c>
      <c r="S24" s="67"/>
    </row>
    <row r="25" spans="1:19" s="444" customFormat="1" ht="15" thickBot="1">
      <c r="A25" s="776" t="s">
        <v>806</v>
      </c>
      <c r="B25" s="939"/>
      <c r="C25" s="940">
        <f>IF(Onbekend_ele_kWh="---",0,Onbekend_ele_kWh)/1000+IF(REST_rest_ele_kWh="---",0,REST_rest_ele_kWh)/1000</f>
        <v>750.45187797552103</v>
      </c>
      <c r="D25" s="940"/>
      <c r="E25" s="940">
        <f>IF(onbekend_gas_kWh="---",0,onbekend_gas_kWh)/1000+IF(REST_rest_gas_kWh="---",0,REST_rest_gas_kWh)/1000</f>
        <v>829.41764525332201</v>
      </c>
      <c r="F25" s="940"/>
      <c r="G25" s="940"/>
      <c r="H25" s="940"/>
      <c r="I25" s="940"/>
      <c r="J25" s="940"/>
      <c r="K25" s="940"/>
      <c r="L25" s="940"/>
      <c r="M25" s="940"/>
      <c r="N25" s="940"/>
      <c r="O25" s="940"/>
      <c r="P25" s="940"/>
      <c r="Q25" s="941"/>
      <c r="R25" s="643">
        <f>SUM(C25:Q25)</f>
        <v>1579.869523228843</v>
      </c>
      <c r="S25" s="67"/>
    </row>
    <row r="26" spans="1:19" s="444" customFormat="1" ht="15.75" thickBot="1">
      <c r="A26" s="648" t="s">
        <v>807</v>
      </c>
      <c r="B26" s="762"/>
      <c r="C26" s="757">
        <f>SUM(C24:C25)</f>
        <v>8673.3125802027462</v>
      </c>
      <c r="D26" s="757">
        <f t="shared" ref="D26:R26" si="2">SUM(D24:D25)</f>
        <v>70579.28571428571</v>
      </c>
      <c r="E26" s="757">
        <f t="shared" si="2"/>
        <v>829.41764525332201</v>
      </c>
      <c r="F26" s="757">
        <f t="shared" si="2"/>
        <v>164.51590609174548</v>
      </c>
      <c r="G26" s="757">
        <f t="shared" si="2"/>
        <v>27999.591889934793</v>
      </c>
      <c r="H26" s="757">
        <f t="shared" si="2"/>
        <v>0</v>
      </c>
      <c r="I26" s="757">
        <f t="shared" si="2"/>
        <v>0</v>
      </c>
      <c r="J26" s="757">
        <f t="shared" si="2"/>
        <v>0</v>
      </c>
      <c r="K26" s="757">
        <f t="shared" si="2"/>
        <v>908.7020117958225</v>
      </c>
      <c r="L26" s="757">
        <f t="shared" si="2"/>
        <v>0</v>
      </c>
      <c r="M26" s="757">
        <f t="shared" si="2"/>
        <v>0</v>
      </c>
      <c r="N26" s="757">
        <f t="shared" si="2"/>
        <v>0</v>
      </c>
      <c r="O26" s="757">
        <f t="shared" si="2"/>
        <v>0</v>
      </c>
      <c r="P26" s="757">
        <f t="shared" si="2"/>
        <v>0</v>
      </c>
      <c r="Q26" s="757">
        <f t="shared" si="2"/>
        <v>0</v>
      </c>
      <c r="R26" s="757">
        <f t="shared" si="2"/>
        <v>109154.82574756413</v>
      </c>
      <c r="S26" s="67"/>
    </row>
    <row r="27" spans="1:19" s="444" customFormat="1" ht="17.25" thickTop="1" thickBot="1">
      <c r="A27" s="649" t="s">
        <v>109</v>
      </c>
      <c r="B27" s="749"/>
      <c r="C27" s="650">
        <f ca="1">C22+C16+C26</f>
        <v>45201.105179336882</v>
      </c>
      <c r="D27" s="650">
        <f t="shared" ref="D27:R27" ca="1" si="3">D22+D16+D26</f>
        <v>70579.28571428571</v>
      </c>
      <c r="E27" s="650">
        <f t="shared" ca="1" si="3"/>
        <v>43135.563296851018</v>
      </c>
      <c r="F27" s="650">
        <f t="shared" si="3"/>
        <v>1971.0427211154952</v>
      </c>
      <c r="G27" s="650">
        <f t="shared" ca="1" si="3"/>
        <v>54897.306436220053</v>
      </c>
      <c r="H27" s="650">
        <f t="shared" si="3"/>
        <v>52569.296936458937</v>
      </c>
      <c r="I27" s="650">
        <f t="shared" si="3"/>
        <v>8365.2690675793001</v>
      </c>
      <c r="J27" s="650">
        <f t="shared" si="3"/>
        <v>0</v>
      </c>
      <c r="K27" s="650">
        <f t="shared" si="3"/>
        <v>1356.7243984125355</v>
      </c>
      <c r="L27" s="650">
        <f t="shared" si="3"/>
        <v>0</v>
      </c>
      <c r="M27" s="650">
        <f t="shared" ca="1" si="3"/>
        <v>0</v>
      </c>
      <c r="N27" s="650">
        <f t="shared" si="3"/>
        <v>2754.6934050413615</v>
      </c>
      <c r="O27" s="650">
        <f t="shared" ca="1" si="3"/>
        <v>5964.1949757423245</v>
      </c>
      <c r="P27" s="650">
        <f t="shared" si="3"/>
        <v>50.026666666666671</v>
      </c>
      <c r="Q27" s="650">
        <f t="shared" si="3"/>
        <v>133.46666666666667</v>
      </c>
      <c r="R27" s="650">
        <f t="shared" ca="1" si="3"/>
        <v>286977.97546437697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2454.7023596164863</v>
      </c>
      <c r="D40" s="640">
        <f ca="1">tertiair!C20</f>
        <v>0</v>
      </c>
      <c r="E40" s="640">
        <f ca="1">tertiair!D20</f>
        <v>2901.3236443512942</v>
      </c>
      <c r="F40" s="640">
        <f>tertiair!E20</f>
        <v>16.023853314595836</v>
      </c>
      <c r="G40" s="640">
        <f ca="1">tertiair!F20</f>
        <v>399.70919290870262</v>
      </c>
      <c r="H40" s="640">
        <f>tertiair!G20</f>
        <v>0</v>
      </c>
      <c r="I40" s="640">
        <f>tertiair!H20</f>
        <v>0</v>
      </c>
      <c r="J40" s="640">
        <f>tertiair!I20</f>
        <v>0</v>
      </c>
      <c r="K40" s="640">
        <f>tertiair!J20</f>
        <v>4.275902186220172</v>
      </c>
      <c r="L40" s="640">
        <f>tertiair!K20</f>
        <v>0</v>
      </c>
      <c r="M40" s="640">
        <f ca="1">tertiair!L20</f>
        <v>0</v>
      </c>
      <c r="N40" s="640">
        <f>tertiair!M20</f>
        <v>0</v>
      </c>
      <c r="O40" s="640">
        <f ca="1">tertiair!N20</f>
        <v>0</v>
      </c>
      <c r="P40" s="640">
        <f>tertiair!O20</f>
        <v>0</v>
      </c>
      <c r="Q40" s="717">
        <f>tertiair!P20</f>
        <v>0</v>
      </c>
      <c r="R40" s="795">
        <f t="shared" ca="1" si="4"/>
        <v>5776.0349523772993</v>
      </c>
    </row>
    <row r="41" spans="1:18">
      <c r="A41" s="767" t="s">
        <v>214</v>
      </c>
      <c r="B41" s="774"/>
      <c r="C41" s="640">
        <f ca="1">huishoudens!B12</f>
        <v>2253.6748389742506</v>
      </c>
      <c r="D41" s="640">
        <f ca="1">huishoudens!C12</f>
        <v>0</v>
      </c>
      <c r="E41" s="640">
        <f>huishoudens!D12</f>
        <v>5036.2099126881076</v>
      </c>
      <c r="F41" s="640">
        <f>huishoudens!E12</f>
        <v>163.21957275287699</v>
      </c>
      <c r="G41" s="640">
        <f>huishoudens!F12</f>
        <v>5883.3402600336303</v>
      </c>
      <c r="H41" s="640">
        <f>huishoudens!G12</f>
        <v>0</v>
      </c>
      <c r="I41" s="640">
        <f>huishoudens!H12</f>
        <v>0</v>
      </c>
      <c r="J41" s="640">
        <f>huishoudens!I12</f>
        <v>0</v>
      </c>
      <c r="K41" s="640">
        <f>huishoudens!J12</f>
        <v>147.72373564825702</v>
      </c>
      <c r="L41" s="640">
        <f>huishoudens!K12</f>
        <v>0</v>
      </c>
      <c r="M41" s="640">
        <f>huishoudens!L12</f>
        <v>0</v>
      </c>
      <c r="N41" s="640">
        <f>huishoudens!M12</f>
        <v>0</v>
      </c>
      <c r="O41" s="640">
        <f>huishoudens!N12</f>
        <v>0</v>
      </c>
      <c r="P41" s="640">
        <f>huishoudens!O12</f>
        <v>0</v>
      </c>
      <c r="Q41" s="717">
        <f>huishoudens!P12</f>
        <v>0</v>
      </c>
      <c r="R41" s="795">
        <f t="shared" ca="1" si="4"/>
        <v>13484.168320097122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1821.3342094962964</v>
      </c>
      <c r="D43" s="640">
        <f ca="1">industrie!C22</f>
        <v>0</v>
      </c>
      <c r="E43" s="640">
        <f>industrie!D22</f>
        <v>607.38228630659125</v>
      </c>
      <c r="F43" s="640">
        <f>industrie!E22</f>
        <v>193.91413558079162</v>
      </c>
      <c r="G43" s="640">
        <f>industrie!F22</f>
        <v>898.64033091583212</v>
      </c>
      <c r="H43" s="640">
        <f>industrie!G22</f>
        <v>0</v>
      </c>
      <c r="I43" s="640">
        <f>industrie!H22</f>
        <v>0</v>
      </c>
      <c r="J43" s="640">
        <f>industrie!I22</f>
        <v>0</v>
      </c>
      <c r="K43" s="640">
        <f>industrie!J22</f>
        <v>6.6002870278392018</v>
      </c>
      <c r="L43" s="640">
        <f>industrie!K22</f>
        <v>0</v>
      </c>
      <c r="M43" s="640">
        <f>industrie!L22</f>
        <v>0</v>
      </c>
      <c r="N43" s="640">
        <f>industrie!M22</f>
        <v>0</v>
      </c>
      <c r="O43" s="640">
        <f>industrie!N22</f>
        <v>0</v>
      </c>
      <c r="P43" s="640">
        <f>industrie!O22</f>
        <v>0</v>
      </c>
      <c r="Q43" s="717">
        <f>industrie!P22</f>
        <v>0</v>
      </c>
      <c r="R43" s="794">
        <f t="shared" ca="1" si="4"/>
        <v>3527.8712493273506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6529.7114080870333</v>
      </c>
      <c r="D46" s="675">
        <f t="shared" ref="D46:Q46" ca="1" si="5">SUM(D39:D45)</f>
        <v>0</v>
      </c>
      <c r="E46" s="675">
        <f t="shared" ca="1" si="5"/>
        <v>8544.9158433459925</v>
      </c>
      <c r="F46" s="675">
        <f t="shared" si="5"/>
        <v>373.15756164826445</v>
      </c>
      <c r="G46" s="675">
        <f t="shared" ca="1" si="5"/>
        <v>7181.6897838581654</v>
      </c>
      <c r="H46" s="675">
        <f t="shared" si="5"/>
        <v>0</v>
      </c>
      <c r="I46" s="675">
        <f t="shared" si="5"/>
        <v>0</v>
      </c>
      <c r="J46" s="675">
        <f t="shared" si="5"/>
        <v>0</v>
      </c>
      <c r="K46" s="675">
        <f t="shared" si="5"/>
        <v>158.59992486231641</v>
      </c>
      <c r="L46" s="675">
        <f t="shared" si="5"/>
        <v>0</v>
      </c>
      <c r="M46" s="675">
        <f t="shared" ca="1" si="5"/>
        <v>0</v>
      </c>
      <c r="N46" s="675">
        <f t="shared" si="5"/>
        <v>0</v>
      </c>
      <c r="O46" s="675">
        <f t="shared" ca="1" si="5"/>
        <v>0</v>
      </c>
      <c r="P46" s="675">
        <f t="shared" si="5"/>
        <v>0</v>
      </c>
      <c r="Q46" s="675">
        <f t="shared" si="5"/>
        <v>0</v>
      </c>
      <c r="R46" s="675">
        <f ca="1">SUM(R39:R45)</f>
        <v>22788.074521801769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0.56194536256972161</v>
      </c>
      <c r="D49" s="640">
        <f ca="1">transport!C58</f>
        <v>0</v>
      </c>
      <c r="E49" s="640">
        <f>transport!D58</f>
        <v>0</v>
      </c>
      <c r="F49" s="640">
        <f>transport!E58</f>
        <v>0</v>
      </c>
      <c r="G49" s="640">
        <f>transport!F58</f>
        <v>0</v>
      </c>
      <c r="H49" s="640">
        <f>transport!G58</f>
        <v>163.33579355608009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163.89773891864982</v>
      </c>
    </row>
    <row r="50" spans="1:18">
      <c r="A50" s="770" t="s">
        <v>296</v>
      </c>
      <c r="B50" s="780"/>
      <c r="C50" s="646">
        <f ca="1">transport!B18</f>
        <v>0.8697169469849374</v>
      </c>
      <c r="D50" s="646">
        <f>transport!C18</f>
        <v>0</v>
      </c>
      <c r="E50" s="646">
        <f>transport!D18</f>
        <v>0.92557827674296689</v>
      </c>
      <c r="F50" s="646">
        <f>transport!E18</f>
        <v>36.924025362126784</v>
      </c>
      <c r="G50" s="646">
        <f>transport!F18</f>
        <v>0</v>
      </c>
      <c r="H50" s="646">
        <f>transport!G18</f>
        <v>13872.666488478457</v>
      </c>
      <c r="I50" s="646">
        <f>transport!H18</f>
        <v>2082.9519978272456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15994.337806891557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1.431662309554659</v>
      </c>
      <c r="D52" s="675">
        <f t="shared" ref="D52:Q52" ca="1" si="6">SUM(D48:D51)</f>
        <v>0</v>
      </c>
      <c r="E52" s="675">
        <f t="shared" si="6"/>
        <v>0.92557827674296689</v>
      </c>
      <c r="F52" s="675">
        <f t="shared" si="6"/>
        <v>36.924025362126784</v>
      </c>
      <c r="G52" s="675">
        <f t="shared" si="6"/>
        <v>0</v>
      </c>
      <c r="H52" s="675">
        <f t="shared" si="6"/>
        <v>14036.002282034537</v>
      </c>
      <c r="I52" s="675">
        <f t="shared" si="6"/>
        <v>2082.9519978272456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16158.235545810207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1416.6018007421387</v>
      </c>
      <c r="D54" s="646">
        <f ca="1">+landbouw!C12</f>
        <v>13755.690756302522</v>
      </c>
      <c r="E54" s="646">
        <f>+landbouw!D12</f>
        <v>0</v>
      </c>
      <c r="F54" s="646">
        <f>+landbouw!E12</f>
        <v>37.345110682826224</v>
      </c>
      <c r="G54" s="646">
        <f>+landbouw!F12</f>
        <v>7475.8910346125904</v>
      </c>
      <c r="H54" s="646">
        <f>+landbouw!G12</f>
        <v>0</v>
      </c>
      <c r="I54" s="646">
        <f>+landbouw!H12</f>
        <v>0</v>
      </c>
      <c r="J54" s="646">
        <f>+landbouw!I12</f>
        <v>0</v>
      </c>
      <c r="K54" s="646">
        <f>+landbouw!J12</f>
        <v>321.68051217572116</v>
      </c>
      <c r="L54" s="646">
        <f>+landbouw!K12</f>
        <v>0</v>
      </c>
      <c r="M54" s="646">
        <f>+landbouw!L12</f>
        <v>0</v>
      </c>
      <c r="N54" s="646">
        <f>+landbouw!M12</f>
        <v>0</v>
      </c>
      <c r="O54" s="646">
        <f>+landbouw!N12</f>
        <v>0</v>
      </c>
      <c r="P54" s="646">
        <f>+landbouw!O12</f>
        <v>0</v>
      </c>
      <c r="Q54" s="647">
        <f>+landbouw!P12</f>
        <v>0</v>
      </c>
      <c r="R54" s="674">
        <f ca="1">SUM(C54:Q54)</f>
        <v>23007.209214515799</v>
      </c>
    </row>
    <row r="55" spans="1:18" ht="15" thickBot="1">
      <c r="A55" s="770" t="s">
        <v>806</v>
      </c>
      <c r="B55" s="780"/>
      <c r="C55" s="646">
        <f ca="1">C25*'EF ele_warmte'!B12</f>
        <v>134.18025655955219</v>
      </c>
      <c r="D55" s="646"/>
      <c r="E55" s="646">
        <f>E25*EF_CO2_aardgas</f>
        <v>167.54236434117107</v>
      </c>
      <c r="F55" s="646"/>
      <c r="G55" s="646"/>
      <c r="H55" s="646"/>
      <c r="I55" s="646"/>
      <c r="J55" s="646"/>
      <c r="K55" s="646"/>
      <c r="L55" s="646"/>
      <c r="M55" s="646"/>
      <c r="N55" s="646"/>
      <c r="O55" s="646"/>
      <c r="P55" s="646"/>
      <c r="Q55" s="647"/>
      <c r="R55" s="674">
        <f ca="1">SUM(C55:Q55)</f>
        <v>301.72262090072326</v>
      </c>
    </row>
    <row r="56" spans="1:18" ht="15.75" thickBot="1">
      <c r="A56" s="768" t="s">
        <v>807</v>
      </c>
      <c r="B56" s="781"/>
      <c r="C56" s="675">
        <f ca="1">SUM(C54:C55)</f>
        <v>1550.7820573016909</v>
      </c>
      <c r="D56" s="675">
        <f t="shared" ref="D56:Q56" ca="1" si="7">SUM(D54:D55)</f>
        <v>13755.690756302522</v>
      </c>
      <c r="E56" s="675">
        <f t="shared" si="7"/>
        <v>167.54236434117107</v>
      </c>
      <c r="F56" s="675">
        <f t="shared" si="7"/>
        <v>37.345110682826224</v>
      </c>
      <c r="G56" s="675">
        <f t="shared" si="7"/>
        <v>7475.8910346125904</v>
      </c>
      <c r="H56" s="675">
        <f t="shared" si="7"/>
        <v>0</v>
      </c>
      <c r="I56" s="675">
        <f t="shared" si="7"/>
        <v>0</v>
      </c>
      <c r="J56" s="675">
        <f t="shared" si="7"/>
        <v>0</v>
      </c>
      <c r="K56" s="675">
        <f t="shared" si="7"/>
        <v>321.68051217572116</v>
      </c>
      <c r="L56" s="675">
        <f t="shared" si="7"/>
        <v>0</v>
      </c>
      <c r="M56" s="675">
        <f t="shared" si="7"/>
        <v>0</v>
      </c>
      <c r="N56" s="675">
        <f t="shared" si="7"/>
        <v>0</v>
      </c>
      <c r="O56" s="675">
        <f t="shared" si="7"/>
        <v>0</v>
      </c>
      <c r="P56" s="675">
        <f t="shared" si="7"/>
        <v>0</v>
      </c>
      <c r="Q56" s="676">
        <f t="shared" si="7"/>
        <v>0</v>
      </c>
      <c r="R56" s="677">
        <f ca="1">SUM(R54:R55)</f>
        <v>23308.931835416523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8081.9251276982786</v>
      </c>
      <c r="D61" s="683">
        <f t="shared" ref="D61:Q61" ca="1" si="8">D46+D52+D56</f>
        <v>13755.690756302522</v>
      </c>
      <c r="E61" s="683">
        <f t="shared" ca="1" si="8"/>
        <v>8713.3837859639061</v>
      </c>
      <c r="F61" s="683">
        <f t="shared" si="8"/>
        <v>447.42669769321742</v>
      </c>
      <c r="G61" s="683">
        <f t="shared" ca="1" si="8"/>
        <v>14657.580818470757</v>
      </c>
      <c r="H61" s="683">
        <f t="shared" si="8"/>
        <v>14036.002282034537</v>
      </c>
      <c r="I61" s="683">
        <f t="shared" si="8"/>
        <v>2082.9519978272456</v>
      </c>
      <c r="J61" s="683">
        <f t="shared" si="8"/>
        <v>0</v>
      </c>
      <c r="K61" s="683">
        <f t="shared" si="8"/>
        <v>480.28043703803758</v>
      </c>
      <c r="L61" s="683">
        <f t="shared" si="8"/>
        <v>0</v>
      </c>
      <c r="M61" s="683">
        <f t="shared" ca="1" si="8"/>
        <v>0</v>
      </c>
      <c r="N61" s="683">
        <f t="shared" si="8"/>
        <v>0</v>
      </c>
      <c r="O61" s="683">
        <f t="shared" ca="1" si="8"/>
        <v>0</v>
      </c>
      <c r="P61" s="683">
        <f t="shared" si="8"/>
        <v>0</v>
      </c>
      <c r="Q61" s="683">
        <f t="shared" si="8"/>
        <v>0</v>
      </c>
      <c r="R61" s="683">
        <f ca="1">R46+R52+R56</f>
        <v>62255.241903028502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0.17879928146962276</v>
      </c>
      <c r="D63" s="726">
        <f t="shared" ca="1" si="9"/>
        <v>0.19489699586911913</v>
      </c>
      <c r="E63" s="946">
        <f t="shared" ca="1" si="9"/>
        <v>0.20200000000000001</v>
      </c>
      <c r="F63" s="726">
        <f t="shared" si="9"/>
        <v>0.22700000000000001</v>
      </c>
      <c r="G63" s="726">
        <f t="shared" ca="1" si="9"/>
        <v>0.26700000000000007</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4448.0918615964256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8887.5000000000018</v>
      </c>
      <c r="C76" s="693">
        <f>'lokale energieproductie'!B8*IFERROR(SUM(D76:H76)/SUM(D76:O76),0)</f>
        <v>40518.000000000007</v>
      </c>
      <c r="D76" s="956">
        <f>'lokale energieproductie'!C8</f>
        <v>47668.23529411765</v>
      </c>
      <c r="E76" s="957">
        <f>'lokale energieproductie'!D8</f>
        <v>0</v>
      </c>
      <c r="F76" s="957">
        <f>'lokale energieproductie'!E8</f>
        <v>0</v>
      </c>
      <c r="G76" s="957">
        <f>'lokale energieproductie'!F8</f>
        <v>0</v>
      </c>
      <c r="H76" s="957">
        <f>'lokale energieproductie'!G8</f>
        <v>0</v>
      </c>
      <c r="I76" s="957">
        <f>'lokale energieproductie'!I8</f>
        <v>0</v>
      </c>
      <c r="J76" s="957">
        <f>'lokale energieproductie'!J8</f>
        <v>10455.882352941178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9628.9835294117656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13335.591861596427</v>
      </c>
      <c r="C78" s="698">
        <f>SUM(C72:C77)</f>
        <v>40518.000000000007</v>
      </c>
      <c r="D78" s="699">
        <f t="shared" ref="D78:H78" si="10">SUM(D76:D77)</f>
        <v>47668.23529411765</v>
      </c>
      <c r="E78" s="699">
        <f t="shared" si="10"/>
        <v>0</v>
      </c>
      <c r="F78" s="699">
        <f t="shared" si="10"/>
        <v>0</v>
      </c>
      <c r="G78" s="699">
        <f t="shared" si="10"/>
        <v>0</v>
      </c>
      <c r="H78" s="699">
        <f t="shared" si="10"/>
        <v>0</v>
      </c>
      <c r="I78" s="699">
        <f>SUM(I76:I77)</f>
        <v>0</v>
      </c>
      <c r="J78" s="699">
        <f>SUM(J76:J77)</f>
        <v>10455.882352941178</v>
      </c>
      <c r="K78" s="699">
        <f t="shared" ref="K78:L78" si="11">SUM(K76:K77)</f>
        <v>0</v>
      </c>
      <c r="L78" s="699">
        <f t="shared" si="11"/>
        <v>0</v>
      </c>
      <c r="M78" s="699">
        <f>SUM(M76:M77)</f>
        <v>0</v>
      </c>
      <c r="N78" s="699">
        <f>SUM(N76:N77)</f>
        <v>0</v>
      </c>
      <c r="O78" s="805">
        <f>SUM(O76:O77)</f>
        <v>0</v>
      </c>
      <c r="P78" s="700">
        <v>0</v>
      </c>
      <c r="Q78" s="700">
        <f>SUM(Q76:Q77)</f>
        <v>9628.9835294117656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12696.428571428571</v>
      </c>
      <c r="C87" s="709">
        <f>'lokale energieproductie'!B17*IFERROR(SUM(D87:H87)/SUM(D87:O87),0)</f>
        <v>57882.857142857138</v>
      </c>
      <c r="D87" s="720">
        <f>'lokale energieproductie'!C17</f>
        <v>68097.478991596639</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14936.974789915968</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13755.690756302522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12696.428571428571</v>
      </c>
      <c r="C90" s="698">
        <f>SUM(C87:C89)</f>
        <v>57882.857142857138</v>
      </c>
      <c r="D90" s="698">
        <f t="shared" ref="D90:H90" si="12">SUM(D87:D89)</f>
        <v>68097.478991596639</v>
      </c>
      <c r="E90" s="698">
        <f t="shared" si="12"/>
        <v>0</v>
      </c>
      <c r="F90" s="698">
        <f t="shared" si="12"/>
        <v>0</v>
      </c>
      <c r="G90" s="698">
        <f t="shared" si="12"/>
        <v>0</v>
      </c>
      <c r="H90" s="698">
        <f t="shared" si="12"/>
        <v>0</v>
      </c>
      <c r="I90" s="698">
        <f>SUM(I87:I89)</f>
        <v>0</v>
      </c>
      <c r="J90" s="698">
        <f>SUM(J87:J89)</f>
        <v>14936.974789915968</v>
      </c>
      <c r="K90" s="698">
        <f t="shared" ref="K90:L90" si="13">SUM(K87:K89)</f>
        <v>0</v>
      </c>
      <c r="L90" s="698">
        <f t="shared" si="13"/>
        <v>0</v>
      </c>
      <c r="M90" s="698">
        <f>SUM(M87:M89)</f>
        <v>0</v>
      </c>
      <c r="N90" s="698">
        <f>SUM(N87:N89)</f>
        <v>0</v>
      </c>
      <c r="O90" s="698">
        <f>SUM(O87:O89)</f>
        <v>0</v>
      </c>
      <c r="P90" s="698">
        <v>0</v>
      </c>
      <c r="Q90" s="698">
        <f>SUM(Q87:Q89)</f>
        <v>13755.690756302522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12604.496060892396</v>
      </c>
      <c r="C4" s="448">
        <f>huishoudens!C8</f>
        <v>0</v>
      </c>
      <c r="D4" s="448">
        <f>huishoudens!D8</f>
        <v>24931.732241030233</v>
      </c>
      <c r="E4" s="448">
        <f>huishoudens!E8</f>
        <v>719.02895485848887</v>
      </c>
      <c r="F4" s="448">
        <f>huishoudens!F8</f>
        <v>22034.982247316966</v>
      </c>
      <c r="G4" s="448">
        <f>huishoudens!G8</f>
        <v>0</v>
      </c>
      <c r="H4" s="448">
        <f>huishoudens!H8</f>
        <v>0</v>
      </c>
      <c r="I4" s="448">
        <f>huishoudens!I8</f>
        <v>0</v>
      </c>
      <c r="J4" s="448">
        <f>huishoudens!J8</f>
        <v>417.29868827191251</v>
      </c>
      <c r="K4" s="448">
        <f>huishoudens!K8</f>
        <v>0</v>
      </c>
      <c r="L4" s="448">
        <f>huishoudens!L8</f>
        <v>0</v>
      </c>
      <c r="M4" s="448">
        <f>huishoudens!M8</f>
        <v>0</v>
      </c>
      <c r="N4" s="448">
        <f>huishoudens!N8</f>
        <v>4272.2724445339572</v>
      </c>
      <c r="O4" s="448">
        <f>huishoudens!O8</f>
        <v>50.026666666666671</v>
      </c>
      <c r="P4" s="449">
        <f>huishoudens!P8</f>
        <v>133.46666666666667</v>
      </c>
      <c r="Q4" s="450">
        <f>SUM(B4:P4)</f>
        <v>65163.303970237292</v>
      </c>
    </row>
    <row r="5" spans="1:17">
      <c r="A5" s="447" t="s">
        <v>149</v>
      </c>
      <c r="B5" s="448">
        <f ca="1">tertiair!B16</f>
        <v>13078.331571518556</v>
      </c>
      <c r="C5" s="448">
        <f ca="1">tertiair!C16</f>
        <v>0</v>
      </c>
      <c r="D5" s="448">
        <f ca="1">tertiair!D16</f>
        <v>14362.988338372743</v>
      </c>
      <c r="E5" s="448">
        <f>tertiair!E16</f>
        <v>70.589662178836278</v>
      </c>
      <c r="F5" s="448">
        <f ca="1">tertiair!F16</f>
        <v>1497.0381756880247</v>
      </c>
      <c r="G5" s="448">
        <f>tertiair!G16</f>
        <v>0</v>
      </c>
      <c r="H5" s="448">
        <f>tertiair!H16</f>
        <v>0</v>
      </c>
      <c r="I5" s="448">
        <f>tertiair!I16</f>
        <v>0</v>
      </c>
      <c r="J5" s="448">
        <f>tertiair!J16</f>
        <v>12.078819735085233</v>
      </c>
      <c r="K5" s="448">
        <f>tertiair!K16</f>
        <v>0</v>
      </c>
      <c r="L5" s="448">
        <f ca="1">tertiair!L16</f>
        <v>0</v>
      </c>
      <c r="M5" s="448">
        <f>tertiair!M16</f>
        <v>0</v>
      </c>
      <c r="N5" s="448">
        <f ca="1">tertiair!N16</f>
        <v>1124.1563213892462</v>
      </c>
      <c r="O5" s="448">
        <f>tertiair!O16</f>
        <v>0</v>
      </c>
      <c r="P5" s="449">
        <f>tertiair!P16</f>
        <v>0</v>
      </c>
      <c r="Q5" s="447">
        <f t="shared" ref="Q5:Q14" ca="1" si="0">SUM(B5:P5)</f>
        <v>30145.182888882493</v>
      </c>
    </row>
    <row r="6" spans="1:17">
      <c r="A6" s="447" t="s">
        <v>187</v>
      </c>
      <c r="B6" s="448">
        <f>'openbare verlichting'!B8</f>
        <v>650.48400000000004</v>
      </c>
      <c r="C6" s="448"/>
      <c r="D6" s="448"/>
      <c r="E6" s="448"/>
      <c r="F6" s="448"/>
      <c r="G6" s="448"/>
      <c r="H6" s="448"/>
      <c r="I6" s="448"/>
      <c r="J6" s="448"/>
      <c r="K6" s="448"/>
      <c r="L6" s="448"/>
      <c r="M6" s="448"/>
      <c r="N6" s="448"/>
      <c r="O6" s="448"/>
      <c r="P6" s="449"/>
      <c r="Q6" s="447">
        <f t="shared" si="0"/>
        <v>650.48400000000004</v>
      </c>
    </row>
    <row r="7" spans="1:17">
      <c r="A7" s="447" t="s">
        <v>105</v>
      </c>
      <c r="B7" s="448">
        <f>landbouw!B8</f>
        <v>7922.8607022272254</v>
      </c>
      <c r="C7" s="448">
        <f>landbouw!C8</f>
        <v>70579.28571428571</v>
      </c>
      <c r="D7" s="448">
        <f>landbouw!D8</f>
        <v>0</v>
      </c>
      <c r="E7" s="448">
        <f>landbouw!E8</f>
        <v>164.51590609174548</v>
      </c>
      <c r="F7" s="448">
        <f>landbouw!F8</f>
        <v>27999.591889934793</v>
      </c>
      <c r="G7" s="448">
        <f>landbouw!G8</f>
        <v>0</v>
      </c>
      <c r="H7" s="448">
        <f>landbouw!H8</f>
        <v>0</v>
      </c>
      <c r="I7" s="448">
        <f>landbouw!I8</f>
        <v>0</v>
      </c>
      <c r="J7" s="448">
        <f>landbouw!J8</f>
        <v>908.7020117958225</v>
      </c>
      <c r="K7" s="448">
        <f>landbouw!K8</f>
        <v>0</v>
      </c>
      <c r="L7" s="448">
        <f>landbouw!L8</f>
        <v>0</v>
      </c>
      <c r="M7" s="448">
        <f>landbouw!M8</f>
        <v>0</v>
      </c>
      <c r="N7" s="448">
        <f>landbouw!N8</f>
        <v>0</v>
      </c>
      <c r="O7" s="448">
        <f>landbouw!O8</f>
        <v>0</v>
      </c>
      <c r="P7" s="449">
        <f>landbouw!P8</f>
        <v>0</v>
      </c>
      <c r="Q7" s="447">
        <f t="shared" si="0"/>
        <v>107574.95622433528</v>
      </c>
    </row>
    <row r="8" spans="1:17">
      <c r="A8" s="447" t="s">
        <v>614</v>
      </c>
      <c r="B8" s="448">
        <f>industrie!B18</f>
        <v>10186.473874648838</v>
      </c>
      <c r="C8" s="448">
        <f>industrie!C18</f>
        <v>0</v>
      </c>
      <c r="D8" s="448">
        <f>industrie!D18</f>
        <v>3006.8430015177782</v>
      </c>
      <c r="E8" s="448">
        <f>industrie!E18</f>
        <v>854.24729330745208</v>
      </c>
      <c r="F8" s="448">
        <f>industrie!F18</f>
        <v>3365.6941232802701</v>
      </c>
      <c r="G8" s="448">
        <f>industrie!G18</f>
        <v>0</v>
      </c>
      <c r="H8" s="448">
        <f>industrie!H18</f>
        <v>0</v>
      </c>
      <c r="I8" s="448">
        <f>industrie!I18</f>
        <v>0</v>
      </c>
      <c r="J8" s="448">
        <f>industrie!J18</f>
        <v>18.64487860971526</v>
      </c>
      <c r="K8" s="448">
        <f>industrie!K18</f>
        <v>0</v>
      </c>
      <c r="L8" s="448">
        <f>industrie!L18</f>
        <v>0</v>
      </c>
      <c r="M8" s="448">
        <f>industrie!M18</f>
        <v>0</v>
      </c>
      <c r="N8" s="448">
        <f>industrie!N18</f>
        <v>567.76620981912129</v>
      </c>
      <c r="O8" s="448">
        <f>industrie!O18</f>
        <v>0</v>
      </c>
      <c r="P8" s="449">
        <f>industrie!P18</f>
        <v>0</v>
      </c>
      <c r="Q8" s="447">
        <f t="shared" si="0"/>
        <v>17999.669381183172</v>
      </c>
    </row>
    <row r="9" spans="1:17" s="453" customFormat="1">
      <c r="A9" s="451" t="s">
        <v>555</v>
      </c>
      <c r="B9" s="452">
        <f>transport!B14</f>
        <v>4.8642082889617129</v>
      </c>
      <c r="C9" s="452">
        <f>transport!C14</f>
        <v>0</v>
      </c>
      <c r="D9" s="452">
        <f>transport!D14</f>
        <v>4.5820706769453805</v>
      </c>
      <c r="E9" s="452">
        <f>transport!E14</f>
        <v>162.6609046789726</v>
      </c>
      <c r="F9" s="452">
        <f>transport!F14</f>
        <v>0</v>
      </c>
      <c r="G9" s="452">
        <f>transport!G14</f>
        <v>51957.552391305078</v>
      </c>
      <c r="H9" s="452">
        <f>transport!H14</f>
        <v>8365.2690675793001</v>
      </c>
      <c r="I9" s="452">
        <f>transport!I14</f>
        <v>0</v>
      </c>
      <c r="J9" s="452">
        <f>transport!J14</f>
        <v>0</v>
      </c>
      <c r="K9" s="452">
        <f>transport!K14</f>
        <v>0</v>
      </c>
      <c r="L9" s="452">
        <f>transport!L14</f>
        <v>0</v>
      </c>
      <c r="M9" s="452">
        <f>transport!M14</f>
        <v>2727.2622656089352</v>
      </c>
      <c r="N9" s="452">
        <f>transport!N14</f>
        <v>0</v>
      </c>
      <c r="O9" s="452">
        <f>transport!O14</f>
        <v>0</v>
      </c>
      <c r="P9" s="452">
        <f>transport!P14</f>
        <v>0</v>
      </c>
      <c r="Q9" s="451">
        <f>SUM(B9:P9)</f>
        <v>63222.190908138196</v>
      </c>
    </row>
    <row r="10" spans="1:17">
      <c r="A10" s="447" t="s">
        <v>545</v>
      </c>
      <c r="B10" s="448">
        <f>transport!B54</f>
        <v>3.1428837853869886</v>
      </c>
      <c r="C10" s="448">
        <f>transport!C54</f>
        <v>0</v>
      </c>
      <c r="D10" s="448">
        <f>transport!D54</f>
        <v>0</v>
      </c>
      <c r="E10" s="448">
        <f>transport!E54</f>
        <v>0</v>
      </c>
      <c r="F10" s="448">
        <f>transport!F54</f>
        <v>0</v>
      </c>
      <c r="G10" s="448">
        <f>transport!G54</f>
        <v>611.74454515385798</v>
      </c>
      <c r="H10" s="448">
        <f>transport!H54</f>
        <v>0</v>
      </c>
      <c r="I10" s="448">
        <f>transport!I54</f>
        <v>0</v>
      </c>
      <c r="J10" s="448">
        <f>transport!J54</f>
        <v>0</v>
      </c>
      <c r="K10" s="448">
        <f>transport!K54</f>
        <v>0</v>
      </c>
      <c r="L10" s="448">
        <f>transport!L54</f>
        <v>0</v>
      </c>
      <c r="M10" s="448">
        <f>transport!M54</f>
        <v>27.431139432426249</v>
      </c>
      <c r="N10" s="448">
        <f>transport!N54</f>
        <v>0</v>
      </c>
      <c r="O10" s="448">
        <f>transport!O54</f>
        <v>0</v>
      </c>
      <c r="P10" s="449">
        <f>transport!P54</f>
        <v>0</v>
      </c>
      <c r="Q10" s="447">
        <f t="shared" si="0"/>
        <v>642.31856837167118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750.45187797552103</v>
      </c>
      <c r="C14" s="455"/>
      <c r="D14" s="455">
        <f>'SEAP template'!E25</f>
        <v>829.41764525332201</v>
      </c>
      <c r="E14" s="455"/>
      <c r="F14" s="455"/>
      <c r="G14" s="455"/>
      <c r="H14" s="455"/>
      <c r="I14" s="455"/>
      <c r="J14" s="455"/>
      <c r="K14" s="455"/>
      <c r="L14" s="455"/>
      <c r="M14" s="455"/>
      <c r="N14" s="455"/>
      <c r="O14" s="455"/>
      <c r="P14" s="456"/>
      <c r="Q14" s="447">
        <f t="shared" si="0"/>
        <v>1579.869523228843</v>
      </c>
    </row>
    <row r="15" spans="1:17" s="460" customFormat="1">
      <c r="A15" s="457" t="s">
        <v>549</v>
      </c>
      <c r="B15" s="458">
        <f ca="1">SUM(B4:B14)</f>
        <v>45201.10517933689</v>
      </c>
      <c r="C15" s="458">
        <f t="shared" ref="C15:Q15" ca="1" si="1">SUM(C4:C14)</f>
        <v>70579.28571428571</v>
      </c>
      <c r="D15" s="458">
        <f t="shared" ca="1" si="1"/>
        <v>43135.563296851018</v>
      </c>
      <c r="E15" s="458">
        <f t="shared" si="1"/>
        <v>1971.0427211154954</v>
      </c>
      <c r="F15" s="458">
        <f t="shared" ca="1" si="1"/>
        <v>54897.306436220053</v>
      </c>
      <c r="G15" s="458">
        <f t="shared" si="1"/>
        <v>52569.296936458937</v>
      </c>
      <c r="H15" s="458">
        <f t="shared" si="1"/>
        <v>8365.2690675793001</v>
      </c>
      <c r="I15" s="458">
        <f t="shared" si="1"/>
        <v>0</v>
      </c>
      <c r="J15" s="458">
        <f t="shared" si="1"/>
        <v>1356.7243984125355</v>
      </c>
      <c r="K15" s="458">
        <f t="shared" si="1"/>
        <v>0</v>
      </c>
      <c r="L15" s="458">
        <f t="shared" ca="1" si="1"/>
        <v>0</v>
      </c>
      <c r="M15" s="458">
        <f t="shared" si="1"/>
        <v>2754.6934050413615</v>
      </c>
      <c r="N15" s="458">
        <f t="shared" ca="1" si="1"/>
        <v>5964.1949757423245</v>
      </c>
      <c r="O15" s="458">
        <f t="shared" si="1"/>
        <v>50.026666666666671</v>
      </c>
      <c r="P15" s="458">
        <f t="shared" si="1"/>
        <v>133.46666666666667</v>
      </c>
      <c r="Q15" s="458">
        <f t="shared" ca="1" si="1"/>
        <v>286977.97546437691</v>
      </c>
    </row>
    <row r="17" spans="1:17">
      <c r="A17" s="461" t="s">
        <v>550</v>
      </c>
      <c r="B17" s="731">
        <f ca="1">huishoudens!B10</f>
        <v>0.17879928146962276</v>
      </c>
      <c r="C17" s="731">
        <f ca="1">huishoudens!C10</f>
        <v>0.19489699586911913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2253.6748389742506</v>
      </c>
      <c r="C22" s="448">
        <f t="shared" ref="C22:C32" ca="1" si="3">C4*$C$17</f>
        <v>0</v>
      </c>
      <c r="D22" s="448">
        <f t="shared" ref="D22:D32" si="4">D4*$D$17</f>
        <v>5036.2099126881076</v>
      </c>
      <c r="E22" s="448">
        <f t="shared" ref="E22:E32" si="5">E4*$E$17</f>
        <v>163.21957275287699</v>
      </c>
      <c r="F22" s="448">
        <f t="shared" ref="F22:F32" si="6">F4*$F$17</f>
        <v>5883.3402600336303</v>
      </c>
      <c r="G22" s="448">
        <f t="shared" ref="G22:G32" si="7">G4*$G$17</f>
        <v>0</v>
      </c>
      <c r="H22" s="448">
        <f t="shared" ref="H22:H32" si="8">H4*$H$17</f>
        <v>0</v>
      </c>
      <c r="I22" s="448">
        <f t="shared" ref="I22:I32" si="9">I4*$I$17</f>
        <v>0</v>
      </c>
      <c r="J22" s="448">
        <f t="shared" ref="J22:J32" si="10">J4*$J$17</f>
        <v>147.72373564825702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13484.168320097122</v>
      </c>
    </row>
    <row r="23" spans="1:17">
      <c r="A23" s="447" t="s">
        <v>149</v>
      </c>
      <c r="B23" s="448">
        <f t="shared" ca="1" si="2"/>
        <v>2338.3962878090001</v>
      </c>
      <c r="C23" s="448">
        <f t="shared" ca="1" si="3"/>
        <v>0</v>
      </c>
      <c r="D23" s="448">
        <f t="shared" ca="1" si="4"/>
        <v>2901.3236443512942</v>
      </c>
      <c r="E23" s="448">
        <f t="shared" si="5"/>
        <v>16.023853314595836</v>
      </c>
      <c r="F23" s="448">
        <f t="shared" ca="1" si="6"/>
        <v>399.70919290870262</v>
      </c>
      <c r="G23" s="448">
        <f t="shared" si="7"/>
        <v>0</v>
      </c>
      <c r="H23" s="448">
        <f t="shared" si="8"/>
        <v>0</v>
      </c>
      <c r="I23" s="448">
        <f t="shared" si="9"/>
        <v>0</v>
      </c>
      <c r="J23" s="448">
        <f t="shared" si="10"/>
        <v>4.275902186220172</v>
      </c>
      <c r="K23" s="448">
        <f t="shared" si="11"/>
        <v>0</v>
      </c>
      <c r="L23" s="448">
        <f t="shared" ca="1" si="12"/>
        <v>0</v>
      </c>
      <c r="M23" s="448">
        <f t="shared" si="13"/>
        <v>0</v>
      </c>
      <c r="N23" s="448">
        <f t="shared" ca="1" si="14"/>
        <v>0</v>
      </c>
      <c r="O23" s="448">
        <f t="shared" si="15"/>
        <v>0</v>
      </c>
      <c r="P23" s="449">
        <f t="shared" si="16"/>
        <v>0</v>
      </c>
      <c r="Q23" s="447">
        <f t="shared" ref="Q23:Q32" ca="1" si="17">SUM(B23:P23)</f>
        <v>5659.7288805698136</v>
      </c>
    </row>
    <row r="24" spans="1:17">
      <c r="A24" s="447" t="s">
        <v>187</v>
      </c>
      <c r="B24" s="448">
        <f t="shared" ca="1" si="2"/>
        <v>116.30607180748611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116.30607180748611</v>
      </c>
    </row>
    <row r="25" spans="1:17">
      <c r="A25" s="447" t="s">
        <v>105</v>
      </c>
      <c r="B25" s="448">
        <f t="shared" ca="1" si="2"/>
        <v>1416.6018007421387</v>
      </c>
      <c r="C25" s="448">
        <f t="shared" ca="1" si="3"/>
        <v>13755.690756302522</v>
      </c>
      <c r="D25" s="448">
        <f t="shared" si="4"/>
        <v>0</v>
      </c>
      <c r="E25" s="448">
        <f t="shared" si="5"/>
        <v>37.345110682826224</v>
      </c>
      <c r="F25" s="448">
        <f t="shared" si="6"/>
        <v>7475.8910346125904</v>
      </c>
      <c r="G25" s="448">
        <f t="shared" si="7"/>
        <v>0</v>
      </c>
      <c r="H25" s="448">
        <f t="shared" si="8"/>
        <v>0</v>
      </c>
      <c r="I25" s="448">
        <f t="shared" si="9"/>
        <v>0</v>
      </c>
      <c r="J25" s="448">
        <f t="shared" si="10"/>
        <v>321.68051217572116</v>
      </c>
      <c r="K25" s="448">
        <f t="shared" si="11"/>
        <v>0</v>
      </c>
      <c r="L25" s="448">
        <f t="shared" si="12"/>
        <v>0</v>
      </c>
      <c r="M25" s="448">
        <f t="shared" si="13"/>
        <v>0</v>
      </c>
      <c r="N25" s="448">
        <f t="shared" si="14"/>
        <v>0</v>
      </c>
      <c r="O25" s="448">
        <f t="shared" si="15"/>
        <v>0</v>
      </c>
      <c r="P25" s="449">
        <f t="shared" si="16"/>
        <v>0</v>
      </c>
      <c r="Q25" s="447">
        <f t="shared" ca="1" si="17"/>
        <v>23007.209214515799</v>
      </c>
    </row>
    <row r="26" spans="1:17">
      <c r="A26" s="447" t="s">
        <v>614</v>
      </c>
      <c r="B26" s="448">
        <f t="shared" ca="1" si="2"/>
        <v>1821.3342094962964</v>
      </c>
      <c r="C26" s="448">
        <f t="shared" ca="1" si="3"/>
        <v>0</v>
      </c>
      <c r="D26" s="448">
        <f t="shared" si="4"/>
        <v>607.38228630659125</v>
      </c>
      <c r="E26" s="448">
        <f t="shared" si="5"/>
        <v>193.91413558079162</v>
      </c>
      <c r="F26" s="448">
        <f t="shared" si="6"/>
        <v>898.64033091583212</v>
      </c>
      <c r="G26" s="448">
        <f t="shared" si="7"/>
        <v>0</v>
      </c>
      <c r="H26" s="448">
        <f t="shared" si="8"/>
        <v>0</v>
      </c>
      <c r="I26" s="448">
        <f t="shared" si="9"/>
        <v>0</v>
      </c>
      <c r="J26" s="448">
        <f t="shared" si="10"/>
        <v>6.6002870278392018</v>
      </c>
      <c r="K26" s="448">
        <f t="shared" si="11"/>
        <v>0</v>
      </c>
      <c r="L26" s="448">
        <f t="shared" si="12"/>
        <v>0</v>
      </c>
      <c r="M26" s="448">
        <f t="shared" si="13"/>
        <v>0</v>
      </c>
      <c r="N26" s="448">
        <f t="shared" si="14"/>
        <v>0</v>
      </c>
      <c r="O26" s="448">
        <f t="shared" si="15"/>
        <v>0</v>
      </c>
      <c r="P26" s="449">
        <f t="shared" si="16"/>
        <v>0</v>
      </c>
      <c r="Q26" s="447">
        <f t="shared" ca="1" si="17"/>
        <v>3527.8712493273506</v>
      </c>
    </row>
    <row r="27" spans="1:17" s="453" customFormat="1">
      <c r="A27" s="451" t="s">
        <v>555</v>
      </c>
      <c r="B27" s="725">
        <f t="shared" ca="1" si="2"/>
        <v>0.8697169469849374</v>
      </c>
      <c r="C27" s="452">
        <f t="shared" ca="1" si="3"/>
        <v>0</v>
      </c>
      <c r="D27" s="452">
        <f t="shared" si="4"/>
        <v>0.92557827674296689</v>
      </c>
      <c r="E27" s="452">
        <f t="shared" si="5"/>
        <v>36.924025362126784</v>
      </c>
      <c r="F27" s="452">
        <f t="shared" si="6"/>
        <v>0</v>
      </c>
      <c r="G27" s="452">
        <f t="shared" si="7"/>
        <v>13872.666488478457</v>
      </c>
      <c r="H27" s="452">
        <f t="shared" si="8"/>
        <v>2082.9519978272456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15994.337806891557</v>
      </c>
    </row>
    <row r="28" spans="1:17">
      <c r="A28" s="447" t="s">
        <v>545</v>
      </c>
      <c r="B28" s="448">
        <f t="shared" ca="1" si="2"/>
        <v>0.56194536256972161</v>
      </c>
      <c r="C28" s="448">
        <f t="shared" ca="1" si="3"/>
        <v>0</v>
      </c>
      <c r="D28" s="448">
        <f t="shared" si="4"/>
        <v>0</v>
      </c>
      <c r="E28" s="448">
        <f t="shared" si="5"/>
        <v>0</v>
      </c>
      <c r="F28" s="448">
        <f t="shared" si="6"/>
        <v>0</v>
      </c>
      <c r="G28" s="448">
        <f t="shared" si="7"/>
        <v>163.33579355608009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163.89773891864982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134.18025655955219</v>
      </c>
      <c r="C32" s="448">
        <f t="shared" ca="1" si="3"/>
        <v>0</v>
      </c>
      <c r="D32" s="448">
        <f t="shared" si="4"/>
        <v>167.54236434117107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301.72262090072326</v>
      </c>
    </row>
    <row r="33" spans="1:17" s="460" customFormat="1">
      <c r="A33" s="457" t="s">
        <v>549</v>
      </c>
      <c r="B33" s="458">
        <f ca="1">SUM(B22:B32)</f>
        <v>8081.9251276982786</v>
      </c>
      <c r="C33" s="458">
        <f t="shared" ref="C33:Q33" ca="1" si="18">SUM(C22:C32)</f>
        <v>13755.690756302522</v>
      </c>
      <c r="D33" s="458">
        <f t="shared" ca="1" si="18"/>
        <v>8713.3837859639061</v>
      </c>
      <c r="E33" s="458">
        <f t="shared" si="18"/>
        <v>447.42669769321748</v>
      </c>
      <c r="F33" s="458">
        <f t="shared" ca="1" si="18"/>
        <v>14657.580818470755</v>
      </c>
      <c r="G33" s="458">
        <f t="shared" si="18"/>
        <v>14036.002282034537</v>
      </c>
      <c r="H33" s="458">
        <f t="shared" si="18"/>
        <v>2082.9519978272456</v>
      </c>
      <c r="I33" s="458">
        <f t="shared" si="18"/>
        <v>0</v>
      </c>
      <c r="J33" s="458">
        <f t="shared" si="18"/>
        <v>480.28043703803758</v>
      </c>
      <c r="K33" s="458">
        <f t="shared" si="18"/>
        <v>0</v>
      </c>
      <c r="L33" s="458">
        <f t="shared" ca="1" si="18"/>
        <v>0</v>
      </c>
      <c r="M33" s="458">
        <f t="shared" si="18"/>
        <v>0</v>
      </c>
      <c r="N33" s="458">
        <f t="shared" ca="1" si="18"/>
        <v>0</v>
      </c>
      <c r="O33" s="458">
        <f t="shared" si="18"/>
        <v>0</v>
      </c>
      <c r="P33" s="458">
        <f t="shared" si="18"/>
        <v>0</v>
      </c>
      <c r="Q33" s="458">
        <f t="shared" ca="1" si="18"/>
        <v>62255.241903028487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4448.0918615964256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8887.5000000000018</v>
      </c>
      <c r="C8" s="982">
        <f>'SEAP template'!C76</f>
        <v>40518.000000000007</v>
      </c>
      <c r="D8" s="982">
        <f>'SEAP template'!D76</f>
        <v>47668.23529411765</v>
      </c>
      <c r="E8" s="982">
        <f>'SEAP template'!E76</f>
        <v>0</v>
      </c>
      <c r="F8" s="982">
        <f>'SEAP template'!F76</f>
        <v>0</v>
      </c>
      <c r="G8" s="982">
        <f>'SEAP template'!G76</f>
        <v>0</v>
      </c>
      <c r="H8" s="982">
        <f>'SEAP template'!H76</f>
        <v>0</v>
      </c>
      <c r="I8" s="982">
        <f>'SEAP template'!I76</f>
        <v>0</v>
      </c>
      <c r="J8" s="982">
        <f>'SEAP template'!J76</f>
        <v>10455.882352941178</v>
      </c>
      <c r="K8" s="982">
        <f>'SEAP template'!K76</f>
        <v>0</v>
      </c>
      <c r="L8" s="982">
        <f>'SEAP template'!L76</f>
        <v>0</v>
      </c>
      <c r="M8" s="982">
        <f>'SEAP template'!M76</f>
        <v>0</v>
      </c>
      <c r="N8" s="982">
        <f>'SEAP template'!N76</f>
        <v>0</v>
      </c>
      <c r="O8" s="982">
        <f>'SEAP template'!O76</f>
        <v>0</v>
      </c>
      <c r="P8" s="983">
        <f>'SEAP template'!Q76</f>
        <v>9628.9835294117656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13335.591861596427</v>
      </c>
      <c r="C10" s="986">
        <f>SUM(C4:C9)</f>
        <v>40518.000000000007</v>
      </c>
      <c r="D10" s="986">
        <f t="shared" ref="D10:H10" si="0">SUM(D8:D9)</f>
        <v>47668.23529411765</v>
      </c>
      <c r="E10" s="986">
        <f t="shared" si="0"/>
        <v>0</v>
      </c>
      <c r="F10" s="986">
        <f t="shared" si="0"/>
        <v>0</v>
      </c>
      <c r="G10" s="986">
        <f t="shared" si="0"/>
        <v>0</v>
      </c>
      <c r="H10" s="986">
        <f t="shared" si="0"/>
        <v>0</v>
      </c>
      <c r="I10" s="986">
        <f>SUM(I8:I9)</f>
        <v>0</v>
      </c>
      <c r="J10" s="986">
        <f>SUM(J8:J9)</f>
        <v>10455.882352941178</v>
      </c>
      <c r="K10" s="986">
        <f t="shared" ref="K10:L10" si="1">SUM(K8:K9)</f>
        <v>0</v>
      </c>
      <c r="L10" s="986">
        <f t="shared" si="1"/>
        <v>0</v>
      </c>
      <c r="M10" s="986">
        <f>SUM(M8:M9)</f>
        <v>0</v>
      </c>
      <c r="N10" s="986">
        <f>SUM(N8:N9)</f>
        <v>0</v>
      </c>
      <c r="O10" s="986">
        <f>SUM(O8:O9)</f>
        <v>0</v>
      </c>
      <c r="P10" s="986">
        <f>SUM(P8:P9)</f>
        <v>9628.9835294117656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0.17879928146962276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12696.428571428571</v>
      </c>
      <c r="C17" s="988">
        <f>'SEAP template'!C87</f>
        <v>57882.857142857138</v>
      </c>
      <c r="D17" s="983">
        <f>'SEAP template'!D87</f>
        <v>68097.478991596639</v>
      </c>
      <c r="E17" s="983">
        <f>'SEAP template'!E87</f>
        <v>0</v>
      </c>
      <c r="F17" s="983">
        <f>'SEAP template'!F87</f>
        <v>0</v>
      </c>
      <c r="G17" s="983">
        <f>'SEAP template'!G87</f>
        <v>0</v>
      </c>
      <c r="H17" s="983">
        <f>'SEAP template'!H87</f>
        <v>0</v>
      </c>
      <c r="I17" s="983">
        <f>'SEAP template'!I87</f>
        <v>0</v>
      </c>
      <c r="J17" s="983">
        <f>'SEAP template'!J87</f>
        <v>14936.974789915968</v>
      </c>
      <c r="K17" s="983">
        <f>'SEAP template'!K87</f>
        <v>0</v>
      </c>
      <c r="L17" s="983">
        <f>'SEAP template'!L87</f>
        <v>0</v>
      </c>
      <c r="M17" s="983">
        <f>'SEAP template'!M87</f>
        <v>0</v>
      </c>
      <c r="N17" s="983">
        <f>'SEAP template'!N87</f>
        <v>0</v>
      </c>
      <c r="O17" s="983">
        <f>'SEAP template'!O87</f>
        <v>0</v>
      </c>
      <c r="P17" s="983">
        <f>'SEAP template'!Q87</f>
        <v>13755.690756302522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12696.428571428571</v>
      </c>
      <c r="C20" s="986">
        <f>SUM(C17:C19)</f>
        <v>57882.857142857138</v>
      </c>
      <c r="D20" s="986">
        <f t="shared" ref="D20:H20" si="2">SUM(D17:D19)</f>
        <v>68097.478991596639</v>
      </c>
      <c r="E20" s="986">
        <f t="shared" si="2"/>
        <v>0</v>
      </c>
      <c r="F20" s="986">
        <f t="shared" si="2"/>
        <v>0</v>
      </c>
      <c r="G20" s="986">
        <f t="shared" si="2"/>
        <v>0</v>
      </c>
      <c r="H20" s="986">
        <f t="shared" si="2"/>
        <v>0</v>
      </c>
      <c r="I20" s="986">
        <f>SUM(I17:I19)</f>
        <v>0</v>
      </c>
      <c r="J20" s="986">
        <f>SUM(J17:J19)</f>
        <v>14936.974789915968</v>
      </c>
      <c r="K20" s="986">
        <f t="shared" ref="K20:L20" si="3">SUM(K17:K19)</f>
        <v>0</v>
      </c>
      <c r="L20" s="986">
        <f t="shared" si="3"/>
        <v>0</v>
      </c>
      <c r="M20" s="986">
        <f>SUM(M17:M19)</f>
        <v>0</v>
      </c>
      <c r="N20" s="986">
        <f>SUM(N17:N19)</f>
        <v>0</v>
      </c>
      <c r="O20" s="986">
        <f>SUM(O17:O19)</f>
        <v>0</v>
      </c>
      <c r="P20" s="986">
        <f>SUM(P17:P19)</f>
        <v>13755.690756302522</v>
      </c>
    </row>
    <row r="22" spans="1:16">
      <c r="A22" s="461" t="s">
        <v>829</v>
      </c>
      <c r="B22" s="731" t="s">
        <v>823</v>
      </c>
      <c r="C22" s="731">
        <f ca="1">'EF ele_warmte'!B22</f>
        <v>0.19489699586911913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0.17879928146962276</v>
      </c>
      <c r="C17" s="498">
        <f ca="1">'EF ele_warmte'!B22</f>
        <v>0.19489699586911913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2022-07-26T12:05:45Z</dcterms:modified>
</cp:coreProperties>
</file>