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FBC0D35-26B3-4E79-B930-34E6852696C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<sst xmlns="http://schemas.openxmlformats.org/spreadsheetml/2006/main" count="2446" uniqueCount="911">
  <si>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</si>
  <si>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</si>
  <si>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</si>
  <si>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</si>
  <si>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</si>
  <si>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</si>
  <si>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</si>
  <si>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</si>
  <si>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</si>
  <si>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</si>
  <si>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</si>
  <si>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</si>
  <si>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</si>
  <si>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</si>
  <si>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</si>
  <si>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</si>
  <si>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</si>
  <si>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</si>
  <si>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</si>
  <si>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</si>
  <si>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</si>
  <si>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</si>
  <si>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</si>
  <si>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</si>
  <si>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</si>
  <si>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</si>
  <si>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</si>
  <si>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</si>
  <si>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</si>
  <si>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</si>
  <si>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</si>
  <si>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</si>
  <si>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</si>
  <si>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</si>
  <si>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</si>
  <si>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</si>
  <si>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</si>
  <si>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</si>
  <si>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</si>
  <si>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</si>
  <si>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</si>
  <si>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</si>
  <si>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</si>
  <si>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</si>
  <si>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</si>
  <si>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</si>
  <si>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</si>
  <si>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</si>
  <si>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</si>
  <si>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</si>
  <si>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</si>
  <si>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</si>
  <si>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</si>
  <si>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</si>
  <si>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</si>
  <si>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</si>
  <si>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</si>
  <si>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</si>
  <si>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</si>
  <si>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</si>
  <si>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</si>
  <si>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</si>
  <si>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</si>
  <si>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</si>
  <si>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</si>
  <si>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</si>
  <si>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</si>
  <si>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</si>
  <si>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</si>
  <si>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</si>
  <si>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</si>
  <si>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</si>
  <si>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</si>
  <si>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</si>
  <si>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</si>
  <si>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</si>
  <si>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</si>
  <si>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</si>
  <si>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</si>
  <si>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</si>
  <si>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</si>
  <si>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</si>
  <si>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</si>
  <si>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</si>
  <si>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</si>
  <si>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</si>
  <si>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</si>
  <si>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</si>
  <si>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</si>
  <si>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</si>
  <si>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</si>
  <si>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</si>
  <si>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</si>
  <si>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</si>
  <si>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</si>
  <si>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</si>
  <si>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</si>
  <si>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</si>
  <si>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</si>
  <si>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</si>
  <si>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</si>
  <si>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</si>
  <si>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</si>
  <si>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</si>
  <si>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</si>
  <si>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</si>
  <si>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</si>
  <si>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</si>
  <si>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</si>
  <si>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</si>
  <si>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</si>
  <si>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</si>
  <si>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</si>
  <si>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</si>
  <si>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</si>
  <si>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</si>
  <si>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</si>
  <si>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</si>
  <si>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</si>
  <si>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</si>
  <si>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</si>
  <si>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</si>
  <si>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</si>
  <si>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</si>
  <si>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</si>
  <si>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</si>
  <si>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</si>
  <si>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</si>
  <si>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</si>
  <si>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</si>
  <si>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</si>
  <si>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</si>
  <si>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</si>
  <si>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</si>
  <si>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</si>
  <si>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</si>
  <si>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</si>
  <si>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</si>
  <si>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</si>
  <si>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</si>
  <si>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</si>
  <si>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</si>
  <si>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</si>
  <si>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</si>
  <si>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</si>
  <si>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</si>
  <si>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</si>
  <si>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</si>
  <si>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</si>
  <si>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</si>
  <si>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</si>
  <si>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</si>
  <si>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</si>
  <si>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</si>
  <si>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</si>
  <si>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</si>
  <si>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</si>
  <si>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</si>
  <si>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</si>
  <si>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</si>
  <si>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</si>
  <si>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</si>
  <si>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</si>
  <si>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</si>
  <si>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</si>
  <si>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</si>
  <si>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</si>
  <si>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</si>
  <si>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</si>
  <si>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</si>
  <si>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</si>
  <si>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</si>
  <si>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</si>
  <si>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</si>
  <si>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</si>
  <si>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</si>
  <si>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</si>
  <si>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</si>
  <si>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</si>
  <si>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</si>
  <si>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</si>
  <si>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</si>
  <si>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</si>
  <si>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</si>
  <si>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</si>
  <si>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</si>
  <si>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</si>
  <si>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</si>
  <si>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</si>
  <si>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</si>
  <si>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</si>
  <si>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</si>
  <si>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</si>
  <si>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</si>
  <si>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</si>
  <si>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</si>
  <si>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</si>
  <si>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</si>
  <si>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</si>
  <si>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</si>
  <si>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</si>
  <si>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</si>
  <si>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</si>
  <si>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</si>
  <si>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</si>
  <si>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</si>
  <si>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</si>
  <si>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</si>
  <si>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</si>
  <si>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</si>
  <si>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</si>
  <si>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</si>
  <si>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</si>
  <si>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</si>
  <si>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</si>
  <si>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</si>
  <si>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</si>
  <si>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</si>
  <si>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</si>
  <si>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</si>
  <si>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</si>
  <si>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</si>
  <si>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</si>
  <si>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</si>
  <si>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</si>
  <si>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</si>
  <si>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</si>
  <si>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</si>
  <si>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</si>
  <si>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</si>
  <si>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</si>
  <si>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</si>
  <si>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</si>
  <si>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</si>
  <si>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</si>
  <si>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</si>
  <si>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</si>
  <si>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</si>
  <si>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</si>
  <si>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</si>
  <si>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</si>
  <si>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</si>
  <si>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</si>
  <si>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</si>
  <si>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</si>
  <si>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</si>
  <si>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</si>
  <si>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</si>
  <si>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</si>
  <si>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</si>
  <si>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</si>
  <si>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</si>
  <si>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</si>
  <si>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</si>
  <si>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</si>
  <si>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</si>
  <si>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</si>
  <si>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</si>
  <si>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</si>
  <si>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</si>
  <si>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</si>
  <si>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</si>
  <si>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</si>
  <si>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</si>
  <si>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</si>
  <si>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</si>
  <si>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</si>
  <si>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</si>
  <si>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</si>
  <si>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</si>
  <si>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</si>
  <si>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</si>
  <si>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</si>
  <si>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</si>
  <si>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</si>
  <si>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</si>
  <si>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</si>
  <si>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</si>
  <si>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</si>
  <si>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</si>
  <si>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</si>
  <si>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</si>
  <si>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</si>
  <si>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</si>
  <si>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</si>
  <si>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</si>
  <si>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</si>
  <si>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</si>
  <si>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</si>
  <si>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</si>
  <si>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</si>
  <si>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</si>
  <si>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</si>
  <si>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</si>
  <si>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</si>
  <si>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</si>
  <si>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</si>
  <si>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</si>
  <si>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</si>
  <si>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</si>
  <si>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</si>
  <si>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</si>
  <si>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</si>
  <si>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</si>
  <si>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</si>
  <si>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</si>
  <si>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</si>
  <si>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</si>
  <si>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</si>
  <si>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</si>
  <si>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</si>
  <si>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</si>
  <si>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</si>
  <si>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</si>
  <si>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</si>
  <si>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</si>
  <si>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</si>
  <si>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</si>
  <si>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</si>
  <si>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</si>
  <si>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</si>
  <si>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</si>
  <si>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</si>
  <si>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</si>
  <si>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</si>
  <si>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</si>
  <si>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</si>
  <si>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</si>
  <si>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</si>
  <si>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</si>
  <si>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</si>
  <si>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</si>
  <si>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</si>
  <si>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</si>
  <si>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</si>
  <si>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</si>
  <si>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</si>
  <si>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</si>
  <si>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</si>
  <si>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</si>
  <si>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</si>
  <si>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</si>
  <si>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</si>
  <si>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</si>
  <si>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</si>
  <si>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</si>
  <si>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</si>
  <si>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</si>
  <si>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</si>
  <si>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</si>
  <si>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</si>
  <si>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</si>
  <si>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</si>
  <si>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</si>
  <si>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</si>
  <si>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</si>
  <si>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</si>
  <si>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</si>
  <si>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</si>
  <si>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</si>
  <si>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</si>
  <si>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</si>
  <si>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</si>
  <si>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</si>
  <si>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</si>
  <si>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</si>
  <si>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</si>
  <si>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</si>
  <si>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</si>
  <si>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</si>
  <si>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</si>
  <si>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</si>
  <si>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</si>
  <si>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</si>
  <si>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</si>
  <si>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</si>
  <si>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</si>
  <si>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</si>
  <si>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</si>
  <si>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</si>
  <si>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</si>
  <si>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</si>
  <si>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</si>
  <si>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</si>
  <si>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</si>
  <si>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</si>
  <si>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</si>
  <si>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</si>
  <si>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</si>
  <si>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</si>
  <si>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</si>
  <si>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</si>
  <si>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</si>
  <si>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</si>
  <si>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</si>
  <si>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</si>
  <si>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</si>
  <si>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</si>
  <si>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</si>
  <si>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</si>
  <si>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</si>
  <si>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</si>
  <si>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</si>
  <si>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</si>
  <si>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</si>
  <si>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</si>
  <si>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</si>
  <si>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</si>
  <si>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</si>
  <si>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</si>
  <si>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</si>
  <si>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</si>
  <si>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</si>
  <si>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</si>
  <si>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</si>
  <si>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</si>
  <si>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</si>
  <si>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</si>
  <si>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</si>
  <si>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</si>
  <si>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</si>
  <si>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</si>
  <si>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</si>
  <si>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</si>
  <si>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</si>
  <si>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</si>
  <si>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</si>
  <si>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</si>
  <si>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</si>
  <si>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</si>
  <si>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</si>
  <si>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</si>
  <si>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</si>
  <si>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</si>
  <si>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</si>
  <si>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</si>
  <si>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</si>
  <si>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</si>
  <si>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</si>
  <si>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</si>
  <si>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</si>
  <si>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</si>
  <si>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</si>
  <si>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</si>
  <si>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</si>
  <si>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</si>
  <si>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</si>
  <si>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</si>
  <si>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</si>
  <si>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</si>
  <si>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</si>
  <si>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</si>
  <si>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</si>
  <si>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</si>
  <si>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</si>
  <si>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</si>
  <si>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</si>
  <si>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</si>
  <si>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</si>
  <si>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</si>
  <si>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</si>
  <si>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</si>
  <si>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</si>
  <si>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</si>
  <si>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</si>
  <si>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</si>
  <si>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</si>
  <si>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</si>
  <si>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</si>
  <si>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</si>
  <si>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</si>
  <si>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</si>
  <si>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</si>
  <si>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</si>
  <si>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</si>
  <si>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</si>
  <si>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</si>
  <si>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</si>
  <si>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</si>
  <si>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</si>
  <si>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</si>
  <si>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</si>
  <si>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</si>
  <si>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</si>
  <si>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</si>
  <si>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</si>
  <si>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</si>
  <si>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</si>
  <si>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</si>
  <si>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</si>
  <si>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</si>
  <si>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</si>
  <si>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</si>
  <si>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</si>
  <si>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</si>
  <si>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</si>
  <si>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</si>
  <si>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</si>
  <si>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</si>
  <si>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</si>
  <si>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</si>
  <si>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</si>
  <si>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</si>
  <si>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</si>
  <si>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</si>
  <si>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</si>
  <si>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</si>
  <si>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</si>
  <si>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</si>
  <si>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</si>
  <si>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</si>
  <si>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</si>
  <si>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</si>
  <si>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</si>
  <si>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</si>
  <si>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</si>
  <si>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</si>
  <si>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</si>
  <si>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</si>
  <si>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</si>
  <si>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</si>
  <si>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</si>
  <si>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</si>
  <si>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</si>
  <si>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</si>
  <si>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</si>
  <si>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</si>
  <si>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</si>
  <si>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</si>
  <si>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</si>
  <si>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</si>
  <si>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</si>
  <si>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</si>
  <si>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</si>
  <si>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</si>
  <si>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</si>
  <si>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</si>
  <si>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</si>
  <si>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</si>
  <si>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</si>
  <si>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</si>
  <si>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</si>
  <si>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</si>
  <si>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</si>
  <si>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</si>
  <si>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</si>
  <si>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</si>
  <si>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</si>
  <si>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</si>
  <si>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</si>
  <si>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</si>
  <si>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</si>
  <si>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</si>
  <si>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</si>
  <si>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</si>
  <si>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</si>
  <si>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</si>
  <si>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</si>
  <si>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</si>
  <si>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</si>
  <si>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</si>
  <si>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</si>
  <si>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</si>
  <si>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</si>
  <si>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</si>
  <si>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</si>
  <si>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</si>
  <si>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</si>
  <si>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</si>
  <si>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</si>
  <si>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</si>
  <si>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</si>
  <si>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</si>
  <si>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</si>
  <si>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</si>
  <si>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</si>
  <si>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</si>
  <si>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</si>
  <si>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</si>
  <si>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</si>
  <si>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</si>
  <si>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</si>
  <si>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</si>
  <si>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</si>
  <si>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</si>
  <si>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</si>
  <si>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</si>
  <si>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</si>
  <si>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</si>
  <si>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</si>
  <si>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</si>
  <si>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</si>
  <si>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</si>
  <si>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</si>
  <si>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</si>
  <si>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</si>
  <si>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</si>
  <si>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</si>
  <si>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</si>
  <si>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</si>
  <si>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</si>
  <si>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</si>
  <si>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</si>
  <si>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</si>
  <si>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</si>
  <si>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</si>
  <si>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</si>
  <si>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</si>
  <si>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</si>
  <si>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</si>
  <si>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</si>
  <si>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</si>
  <si>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</si>
  <si>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</si>
  <si>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</si>
  <si>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</si>
  <si>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</si>
  <si>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</si>
  <si>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</si>
  <si>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</si>
  <si>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</si>
  <si>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</si>
  <si>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</si>
  <si>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</si>
  <si>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</si>
  <si>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</si>
  <si>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</si>
  <si>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</si>
  <si>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</si>
  <si>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</si>
  <si>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</si>
  <si>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</si>
  <si>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</si>
  <si>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</si>
  <si>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</si>
  <si>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</si>
  <si>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</si>
  <si>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</si>
  <si>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</si>
  <si>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</si>
  <si>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</si>
  <si>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</si>
  <si>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</si>
  <si>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</si>
  <si>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</si>
  <si>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</si>
  <si>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</si>
  <si>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</si>
  <si>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</si>
  <si>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</si>
  <si>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</si>
  <si>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</si>
  <si>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</si>
  <si>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</si>
  <si>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</si>
  <si>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</si>
  <si>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</si>
  <si>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</si>
  <si>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</si>
  <si>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</si>
  <si>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</si>
  <si>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</si>
  <si>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</si>
  <si>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</si>
  <si>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</si>
  <si>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</si>
  <si>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</si>
  <si>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</si>
  <si>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</si>
  <si>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</si>
  <si>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</si>
  <si>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</si>
  <si>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</si>
  <si>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</si>
  <si>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</si>
  <si>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</si>
  <si>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</si>
  <si>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</si>
  <si>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</si>
  <si>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</si>
  <si>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</si>
  <si>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</si>
  <si>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</si>
  <si>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</si>
  <si>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</si>
  <si>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</si>
  <si>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</si>
  <si>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</si>
  <si>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</si>
  <si>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</si>
  <si>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</si>
  <si>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</si>
  <si>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</si>
  <si>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</si>
  <si>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</si>
  <si>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</si>
  <si>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</si>
  <si>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</si>
  <si>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</si>
  <si>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</si>
  <si>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</si>
  <si>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</si>
  <si>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</si>
  <si>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</si>
  <si>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</si>
  <si>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</si>
  <si>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</si>
  <si>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</si>
  <si>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</si>
  <si>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</si>
  <si>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</si>
  <si>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</si>
  <si>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</si>
  <si>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</si>
  <si>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</si>
  <si>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</si>
  <si>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</si>
  <si>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</si>
  <si>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</si>
  <si>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</si>
  <si>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</si>
  <si>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</si>
  <si>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</si>
  <si>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</si>
  <si>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</si>
  <si>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</si>
  <si>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</si>
  <si>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</si>
  <si>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</si>
  <si>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</si>
  <si>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</si>
  <si>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</si>
  <si>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</si>
  <si>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</si>
  <si>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</si>
  <si>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</si>
  <si>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</si>
  <si>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</si>
  <si>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</si>
  <si>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</si>
  <si>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</si>
  <si>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</si>
  <si>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</si>
  <si>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</si>
  <si>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</si>
  <si>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</si>
  <si>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</si>
  <si>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</si>
  <si>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</si>
  <si>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</si>
  <si>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</si>
  <si>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</si>
  <si>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</si>
  <si>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</si>
  <si>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</si>
  <si>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</si>
  <si>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</si>
  <si>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</si>
  <si>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</si>
  <si>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</si>
  <si>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</si>
  <si>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</si>
  <si>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</si>
  <si>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</si>
  <si>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</si>
  <si>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</si>
  <si>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</si>
  <si>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</si>
  <si>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</si>
  <si>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</si>
  <si>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</si>
  <si>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</si>
  <si>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</si>
  <si>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</si>
  <si>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</si>
  <si>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</si>
  <si>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</si>
  <si>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</si>
  <si>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</si>
  <si>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</si>
  <si>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</si>
  <si>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</si>
  <si>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</si>
  <si>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</si>
  <si>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</si>
  <si>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</si>
  <si>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</si>
  <si>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</si>
  <si>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</si>
  <si>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</si>
  <si>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</si>
  <si>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</si>
  <si>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</si>
  <si>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</si>
  <si>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</si>
  <si>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</si>
  <si>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</si>
  <si>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</si>
  <si>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</si>
  <si>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</si>
  <si>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</si>
  <si>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</si>
  <si>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</si>
  <si>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</si>
  <si>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</si>
  <si>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</si>
  <si>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</si>
  <si>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</si>
  <si>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</si>
  <si>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</si>
  <si>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</si>
  <si>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</si>
  <si>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</si>
  <si>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</si>
  <si>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</si>
  <si>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</si>
  <si>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</si>
  <si>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</si>
  <si>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</si>
  <si>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</si>
  <si>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</si>
  <si>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</si>
  <si>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</si>
  <si>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</si>
  <si>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</si>
  <si>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</si>
  <si>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</si>
  <si>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</si>
  <si>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</si>
  <si>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</si>
  <si>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</si>
  <si>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</si>
  <si>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</si>
  <si>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</si>
  <si>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</si>
  <si>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</si>
  <si>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</si>
  <si>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</si>
  <si>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</si>
  <si>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</si>
  <si>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</si>
  <si>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</si>
  <si>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</si>
  <si>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</si>
  <si>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</si>
  <si>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</si>
  <si>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</si>
  <si>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</si>
  <si>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</si>
  <si>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</si>
  <si>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</si>
  <si>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</si>
  <si>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</si>
  <si>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</si>
  <si>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</si>
  <si>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</si>
  <si>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</si>
  <si>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</si>
  <si>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</si>
  <si>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</si>
  <si>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</si>
  <si>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</si>
  <si>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</si>
  <si>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</si>
  <si>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</si>
  <si>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</si>
  <si>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</si>
  <si>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</si>
  <si>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</si>
  <si>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</si>
  <si>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</si>
  <si>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</si>
  <si>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</si>
  <si>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</si>
  <si>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</si>
  <si>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</si>
  <si>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</si>
  <si>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</si>
  <si>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</si>
  <si>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</si>
  <si>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</si>
  <si>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</si>
  <si>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</si>
  <si>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</si>
  <si>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</si>
  <si>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</si>
  <si>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</si>
  <si>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</si>
  <si>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</si>
  <si>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</si>
  <si>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</si>
  <si>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</si>
  <si>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</si>
  <si>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</si>
  <si>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</si>
  <si>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</si>
  <si>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</si>
  <si>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</si>
  <si>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</si>
  <si>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</si>
  <si>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</si>
  <si>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</si>
  <si>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35006</t>
  </si>
  <si>
    <t>ICHTEGEM</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</si>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</sst>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A0FBDEF-54F5-4641-9D26-35E7EE84B36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134988.07228765477</c:v>
                </c:pt>
                <c:pt idx="1">
                  <c:v>27927.396832609644</c:v>
                </c:pt>
                <c:pt idx="2">
                  <c:v>1017.879</c:v>
                </c:pt>
                <c:pt idx="3">
                  <c:v>41044.282758062531</c:v>
                </c:pt>
                <c:pt idx="4">
                  <c:v>100912.60538914887</c:v>
                </c:pt>
                <c:pt idx="5">
                  <c:v>64279.269852417143</c:v>
                </c:pt>
                <c:pt idx="6">
                  <c:v>1172.6896318318513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134988.07228765477</c:v>
                </c:pt>
                <c:pt idx="1">
                  <c:v>27927.396832609644</c:v>
                </c:pt>
                <c:pt idx="2">
                  <c:v>1017.879</c:v>
                </c:pt>
                <c:pt idx="3">
                  <c:v>41044.282758062531</c:v>
                </c:pt>
                <c:pt idx="4">
                  <c:v>100912.60538914887</c:v>
                </c:pt>
                <c:pt idx="5">
                  <c:v>64279.269852417143</c:v>
                </c:pt>
                <c:pt idx="6">
                  <c:v>1172.6896318318513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28215.700838423782</c:v>
                </c:pt>
                <c:pt idx="2">
                  <c:v>5516.3249264675023</c:v>
                </c:pt>
                <c:pt idx="3">
                  <c:v>209.4133083072866</c:v>
                </c:pt>
                <c:pt idx="4">
                  <c:v>10002.408624897682</c:v>
                </c:pt>
                <c:pt idx="5">
                  <c:v>20584.287992511185</c:v>
                </c:pt>
                <c:pt idx="6">
                  <c:v>16234.668621046985</c:v>
                </c:pt>
                <c:pt idx="7">
                  <c:v>299.38485900419585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28215.700838423782</c:v>
                </c:pt>
                <c:pt idx="2">
                  <c:v>5516.3249264675023</c:v>
                </c:pt>
                <c:pt idx="3">
                  <c:v>209.4133083072866</c:v>
                </c:pt>
                <c:pt idx="4">
                  <c:v>10002.408624897682</c:v>
                </c:pt>
                <c:pt idx="5">
                  <c:v>20584.287992511185</c:v>
                </c:pt>
                <c:pt idx="6">
                  <c:v>16234.668621046985</c:v>
                </c:pt>
                <c:pt idx="7">
                  <c:v>299.38485900419585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35006</v>
      </c>
      <c r="B6" s="385"/>
      <c r="C6" s="386"/>
    </row>
    <row r="7" spans="1:7" s="383" customFormat="1" ht="15.75" customHeight="1">
      <c r="A7" s="387" t="str">
        <f>txtMunicipality</f>
        <v>ICHTEGEM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0.20573497272984961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0.20573497272984961</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5718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3026</v>
      </c>
      <c r="C14" s="327"/>
      <c r="D14" s="327"/>
      <c r="E14" s="327"/>
      <c r="F14" s="327"/>
    </row>
    <row r="15" spans="1:6">
      <c r="A15" s="1258" t="s">
        <v>177</v>
      </c>
      <c r="B15" s="1259">
        <v>911</v>
      </c>
      <c r="C15" s="327"/>
      <c r="D15" s="327"/>
      <c r="E15" s="327"/>
      <c r="F15" s="327"/>
    </row>
    <row r="16" spans="1:6">
      <c r="A16" s="1258" t="s">
        <v>6</v>
      </c>
      <c r="B16" s="1259">
        <v>1560</v>
      </c>
      <c r="C16" s="327"/>
      <c r="D16" s="327"/>
      <c r="E16" s="327"/>
      <c r="F16" s="327"/>
    </row>
    <row r="17" spans="1:6">
      <c r="A17" s="1258" t="s">
        <v>7</v>
      </c>
      <c r="B17" s="1259">
        <v>814</v>
      </c>
      <c r="C17" s="327"/>
      <c r="D17" s="327"/>
      <c r="E17" s="327"/>
      <c r="F17" s="327"/>
    </row>
    <row r="18" spans="1:6">
      <c r="A18" s="1258" t="s">
        <v>8</v>
      </c>
      <c r="B18" s="1259">
        <v>1517</v>
      </c>
      <c r="C18" s="327"/>
      <c r="D18" s="327"/>
      <c r="E18" s="327"/>
      <c r="F18" s="327"/>
    </row>
    <row r="19" spans="1:6">
      <c r="A19" s="1258" t="s">
        <v>9</v>
      </c>
      <c r="B19" s="1259">
        <v>1410</v>
      </c>
      <c r="C19" s="327"/>
      <c r="D19" s="327"/>
      <c r="E19" s="327"/>
      <c r="F19" s="327"/>
    </row>
    <row r="20" spans="1:6">
      <c r="A20" s="1258" t="s">
        <v>10</v>
      </c>
      <c r="B20" s="1259">
        <v>1000</v>
      </c>
      <c r="C20" s="327"/>
      <c r="D20" s="327"/>
      <c r="E20" s="327"/>
      <c r="F20" s="327"/>
    </row>
    <row r="21" spans="1:6">
      <c r="A21" s="1258" t="s">
        <v>11</v>
      </c>
      <c r="B21" s="1259">
        <v>12528</v>
      </c>
      <c r="C21" s="327"/>
      <c r="D21" s="327"/>
      <c r="E21" s="327"/>
      <c r="F21" s="327"/>
    </row>
    <row r="22" spans="1:6">
      <c r="A22" s="1258" t="s">
        <v>12</v>
      </c>
      <c r="B22" s="1259">
        <v>53488</v>
      </c>
      <c r="C22" s="327"/>
      <c r="D22" s="327"/>
      <c r="E22" s="327"/>
      <c r="F22" s="327"/>
    </row>
    <row r="23" spans="1:6">
      <c r="A23" s="1258" t="s">
        <v>13</v>
      </c>
      <c r="B23" s="1259">
        <v>698</v>
      </c>
      <c r="C23" s="327"/>
      <c r="D23" s="327"/>
      <c r="E23" s="327"/>
      <c r="F23" s="327"/>
    </row>
    <row r="24" spans="1:6">
      <c r="A24" s="1258" t="s">
        <v>14</v>
      </c>
      <c r="B24" s="1259">
        <v>36</v>
      </c>
      <c r="C24" s="327"/>
      <c r="D24" s="327"/>
      <c r="E24" s="327"/>
      <c r="F24" s="327"/>
    </row>
    <row r="25" spans="1:6">
      <c r="A25" s="1258" t="s">
        <v>15</v>
      </c>
      <c r="B25" s="1259">
        <v>3669</v>
      </c>
      <c r="C25" s="327"/>
      <c r="D25" s="327"/>
      <c r="E25" s="327"/>
      <c r="F25" s="327"/>
    </row>
    <row r="26" spans="1:6">
      <c r="A26" s="1258" t="s">
        <v>16</v>
      </c>
      <c r="B26" s="1259">
        <v>381</v>
      </c>
      <c r="C26" s="327"/>
      <c r="D26" s="327"/>
      <c r="E26" s="327"/>
      <c r="F26" s="327"/>
    </row>
    <row r="27" spans="1:6">
      <c r="A27" s="1258" t="s">
        <v>17</v>
      </c>
      <c r="B27" s="1259">
        <v>34</v>
      </c>
      <c r="C27" s="327"/>
      <c r="D27" s="327"/>
      <c r="E27" s="327"/>
      <c r="F27" s="327"/>
    </row>
    <row r="28" spans="1:6">
      <c r="A28" s="1258" t="s">
        <v>18</v>
      </c>
      <c r="B28" s="1260">
        <v>121251</v>
      </c>
      <c r="C28" s="327"/>
      <c r="D28" s="327"/>
      <c r="E28" s="327"/>
      <c r="F28" s="327"/>
    </row>
    <row r="29" spans="1:6">
      <c r="A29" s="1258" t="s">
        <v>905</v>
      </c>
      <c r="B29" s="1260">
        <v>117</v>
      </c>
      <c r="C29" s="327"/>
      <c r="D29" s="327"/>
      <c r="E29" s="327"/>
      <c r="F29" s="327"/>
    </row>
    <row r="30" spans="1:6">
      <c r="A30" s="1253" t="s">
        <v>906</v>
      </c>
      <c r="B30" s="1261">
        <v>24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12</v>
      </c>
      <c r="F36" s="1259">
        <v>26919.030249857198</v>
      </c>
    </row>
    <row r="37" spans="1:6">
      <c r="A37" s="1258" t="s">
        <v>24</v>
      </c>
      <c r="B37" s="1258" t="s">
        <v>27</v>
      </c>
      <c r="C37" s="1259">
        <v>0</v>
      </c>
      <c r="D37" s="1259">
        <v>0</v>
      </c>
      <c r="E37" s="1259">
        <v>0</v>
      </c>
      <c r="F37" s="1259">
        <v>0</v>
      </c>
    </row>
    <row r="38" spans="1:6">
      <c r="A38" s="1258" t="s">
        <v>24</v>
      </c>
      <c r="B38" s="1258" t="s">
        <v>28</v>
      </c>
      <c r="C38" s="1259">
        <v>2</v>
      </c>
      <c r="D38" s="1259">
        <v>63246463.587325297</v>
      </c>
      <c r="E38" s="1259">
        <v>2</v>
      </c>
      <c r="F38" s="1259">
        <v>169098.25854904999</v>
      </c>
    </row>
    <row r="39" spans="1:6">
      <c r="A39" s="1258" t="s">
        <v>29</v>
      </c>
      <c r="B39" s="1258" t="s">
        <v>30</v>
      </c>
      <c r="C39" s="1259">
        <v>3629</v>
      </c>
      <c r="D39" s="1259">
        <v>65295709.923955999</v>
      </c>
      <c r="E39" s="1259">
        <v>5256</v>
      </c>
      <c r="F39" s="1259">
        <v>21429226.608452201</v>
      </c>
    </row>
    <row r="40" spans="1:6">
      <c r="A40" s="1258" t="s">
        <v>29</v>
      </c>
      <c r="B40" s="1258" t="s">
        <v>28</v>
      </c>
      <c r="C40" s="1259">
        <v>0</v>
      </c>
      <c r="D40" s="1259">
        <v>0</v>
      </c>
      <c r="E40" s="1259">
        <v>0</v>
      </c>
      <c r="F40" s="1259">
        <v>0</v>
      </c>
    </row>
    <row r="41" spans="1:6">
      <c r="A41" s="1258" t="s">
        <v>31</v>
      </c>
      <c r="B41" s="1258" t="s">
        <v>32</v>
      </c>
      <c r="C41" s="1259">
        <v>79</v>
      </c>
      <c r="D41" s="1259">
        <v>2260069.3805998298</v>
      </c>
      <c r="E41" s="1259">
        <v>161</v>
      </c>
      <c r="F41" s="1259">
        <v>2027333.07838926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43572.122711549397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27</v>
      </c>
      <c r="D48" s="1259">
        <v>1646830.1145080901</v>
      </c>
      <c r="E48" s="1259">
        <v>39</v>
      </c>
      <c r="F48" s="1259">
        <v>6844511.5551206302</v>
      </c>
    </row>
    <row r="49" spans="1:6">
      <c r="A49" s="1258" t="s">
        <v>31</v>
      </c>
      <c r="B49" s="1258" t="s">
        <v>39</v>
      </c>
      <c r="C49" s="1259">
        <v>0</v>
      </c>
      <c r="D49" s="1259">
        <v>0</v>
      </c>
      <c r="E49" s="1259">
        <v>0</v>
      </c>
      <c r="F49" s="1259">
        <v>0</v>
      </c>
    </row>
    <row r="50" spans="1:6">
      <c r="A50" s="1258" t="s">
        <v>31</v>
      </c>
      <c r="B50" s="1258" t="s">
        <v>40</v>
      </c>
      <c r="C50" s="1259">
        <v>18</v>
      </c>
      <c r="D50" s="1259">
        <v>89779223.0421924</v>
      </c>
      <c r="E50" s="1259">
        <v>20</v>
      </c>
      <c r="F50" s="1259">
        <v>1075235.2560835299</v>
      </c>
    </row>
    <row r="51" spans="1:6">
      <c r="A51" s="1258" t="s">
        <v>41</v>
      </c>
      <c r="B51" s="1258" t="s">
        <v>42</v>
      </c>
      <c r="C51" s="1259">
        <v>8</v>
      </c>
      <c r="D51" s="1259">
        <v>182285.84386075201</v>
      </c>
      <c r="E51" s="1259">
        <v>153</v>
      </c>
      <c r="F51" s="1259">
        <v>2786242.1001152</v>
      </c>
    </row>
    <row r="52" spans="1:6">
      <c r="A52" s="1258" t="s">
        <v>41</v>
      </c>
      <c r="B52" s="1258" t="s">
        <v>28</v>
      </c>
      <c r="C52" s="1259">
        <v>6</v>
      </c>
      <c r="D52" s="1259">
        <v>137894.57187319701</v>
      </c>
      <c r="E52" s="1259">
        <v>6</v>
      </c>
      <c r="F52" s="1259">
        <v>137451.43567090901</v>
      </c>
    </row>
    <row r="53" spans="1:6">
      <c r="A53" s="1258" t="s">
        <v>43</v>
      </c>
      <c r="B53" s="1258" t="s">
        <v>44</v>
      </c>
      <c r="C53" s="1259">
        <v>113</v>
      </c>
      <c r="D53" s="1259">
        <v>2443976.85747923</v>
      </c>
      <c r="E53" s="1259">
        <v>187</v>
      </c>
      <c r="F53" s="1259">
        <v>764367.12970564503</v>
      </c>
    </row>
    <row r="54" spans="1:6">
      <c r="A54" s="1258" t="s">
        <v>45</v>
      </c>
      <c r="B54" s="1258" t="s">
        <v>46</v>
      </c>
      <c r="C54" s="1259">
        <v>0</v>
      </c>
      <c r="D54" s="1259">
        <v>0</v>
      </c>
      <c r="E54" s="1259">
        <v>1</v>
      </c>
      <c r="F54" s="1259">
        <v>1017879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28</v>
      </c>
      <c r="D57" s="1259">
        <v>852022.88853658002</v>
      </c>
      <c r="E57" s="1259">
        <v>86</v>
      </c>
      <c r="F57" s="1259">
        <v>1767156.6355763299</v>
      </c>
    </row>
    <row r="58" spans="1:6">
      <c r="A58" s="1258" t="s">
        <v>48</v>
      </c>
      <c r="B58" s="1258" t="s">
        <v>50</v>
      </c>
      <c r="C58" s="1259">
        <v>4</v>
      </c>
      <c r="D58" s="1259">
        <v>58377.741015282802</v>
      </c>
      <c r="E58" s="1259">
        <v>13</v>
      </c>
      <c r="F58" s="1259">
        <v>114742.992439817</v>
      </c>
    </row>
    <row r="59" spans="1:6">
      <c r="A59" s="1258" t="s">
        <v>48</v>
      </c>
      <c r="B59" s="1258" t="s">
        <v>51</v>
      </c>
      <c r="C59" s="1259">
        <v>84</v>
      </c>
      <c r="D59" s="1259">
        <v>3576647.5309581598</v>
      </c>
      <c r="E59" s="1259">
        <v>180</v>
      </c>
      <c r="F59" s="1259">
        <v>3729314.7189784599</v>
      </c>
    </row>
    <row r="60" spans="1:6">
      <c r="A60" s="1258" t="s">
        <v>48</v>
      </c>
      <c r="B60" s="1258" t="s">
        <v>52</v>
      </c>
      <c r="C60" s="1259">
        <v>42</v>
      </c>
      <c r="D60" s="1259">
        <v>2040177.5197997</v>
      </c>
      <c r="E60" s="1259">
        <v>54</v>
      </c>
      <c r="F60" s="1259">
        <v>1183473.41261076</v>
      </c>
    </row>
    <row r="61" spans="1:6">
      <c r="A61" s="1258" t="s">
        <v>48</v>
      </c>
      <c r="B61" s="1258" t="s">
        <v>53</v>
      </c>
      <c r="C61" s="1259">
        <v>65</v>
      </c>
      <c r="D61" s="1259">
        <v>3790245.2726282999</v>
      </c>
      <c r="E61" s="1259">
        <v>153</v>
      </c>
      <c r="F61" s="1259">
        <v>1151926.6178925</v>
      </c>
    </row>
    <row r="62" spans="1:6">
      <c r="A62" s="1258" t="s">
        <v>48</v>
      </c>
      <c r="B62" s="1258" t="s">
        <v>54</v>
      </c>
      <c r="C62" s="1259">
        <v>5</v>
      </c>
      <c r="D62" s="1259">
        <v>611106.74111938803</v>
      </c>
      <c r="E62" s="1259">
        <v>7</v>
      </c>
      <c r="F62" s="1259">
        <v>85009.987283551804</v>
      </c>
    </row>
    <row r="63" spans="1:6">
      <c r="A63" s="1258" t="s">
        <v>48</v>
      </c>
      <c r="B63" s="1258" t="s">
        <v>28</v>
      </c>
      <c r="C63" s="1259">
        <v>84</v>
      </c>
      <c r="D63" s="1259">
        <v>4948833.0688666804</v>
      </c>
      <c r="E63" s="1259">
        <v>82</v>
      </c>
      <c r="F63" s="1259">
        <v>2781204.7160105999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11180.570250119999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148727.57472119899</v>
      </c>
      <c r="E68" s="1261">
        <v>16</v>
      </c>
      <c r="F68" s="1261">
        <v>167410.026391119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45275239</v>
      </c>
      <c r="E73" s="446"/>
      <c r="F73" s="327"/>
    </row>
    <row r="74" spans="1:6">
      <c r="A74" s="1258" t="s">
        <v>63</v>
      </c>
      <c r="B74" s="1258" t="s">
        <v>681</v>
      </c>
      <c r="C74" s="1271" t="s">
        <v>682</v>
      </c>
      <c r="D74" s="1259">
        <v>4142410.8749583145</v>
      </c>
      <c r="E74" s="446"/>
      <c r="F74" s="327"/>
    </row>
    <row r="75" spans="1:6">
      <c r="A75" s="1258" t="s">
        <v>64</v>
      </c>
      <c r="B75" s="1258" t="s">
        <v>679</v>
      </c>
      <c r="C75" s="1271" t="s">
        <v>683</v>
      </c>
      <c r="D75" s="1259">
        <v>23834940</v>
      </c>
      <c r="E75" s="446"/>
      <c r="F75" s="327"/>
    </row>
    <row r="76" spans="1:6">
      <c r="A76" s="1258" t="s">
        <v>64</v>
      </c>
      <c r="B76" s="1258" t="s">
        <v>681</v>
      </c>
      <c r="C76" s="1271" t="s">
        <v>684</v>
      </c>
      <c r="D76" s="1259">
        <v>897942.8749583147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310376.25008337072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3488.2983920922848</v>
      </c>
      <c r="C91" s="327"/>
      <c r="D91" s="327"/>
      <c r="E91" s="327"/>
      <c r="F91" s="327"/>
    </row>
    <row r="92" spans="1:6">
      <c r="A92" s="1253" t="s">
        <v>68</v>
      </c>
      <c r="B92" s="1254">
        <v>1439.9150190219063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2557</v>
      </c>
      <c r="C97" s="327"/>
      <c r="D97" s="327"/>
      <c r="E97" s="327"/>
      <c r="F97" s="327"/>
    </row>
    <row r="98" spans="1:6">
      <c r="A98" s="1258" t="s">
        <v>71</v>
      </c>
      <c r="B98" s="1259">
        <v>2</v>
      </c>
      <c r="C98" s="327"/>
      <c r="D98" s="327"/>
      <c r="E98" s="327"/>
      <c r="F98" s="327"/>
    </row>
    <row r="99" spans="1:6">
      <c r="A99" s="1258" t="s">
        <v>72</v>
      </c>
      <c r="B99" s="1259">
        <v>154</v>
      </c>
      <c r="C99" s="327"/>
      <c r="D99" s="327"/>
      <c r="E99" s="327"/>
      <c r="F99" s="327"/>
    </row>
    <row r="100" spans="1:6">
      <c r="A100" s="1258" t="s">
        <v>73</v>
      </c>
      <c r="B100" s="1259">
        <v>356</v>
      </c>
      <c r="C100" s="327"/>
      <c r="D100" s="327"/>
      <c r="E100" s="327"/>
      <c r="F100" s="327"/>
    </row>
    <row r="101" spans="1:6">
      <c r="A101" s="1258" t="s">
        <v>74</v>
      </c>
      <c r="B101" s="1259">
        <v>153</v>
      </c>
      <c r="C101" s="327"/>
      <c r="D101" s="327"/>
      <c r="E101" s="327"/>
      <c r="F101" s="327"/>
    </row>
    <row r="102" spans="1:6">
      <c r="A102" s="1258" t="s">
        <v>75</v>
      </c>
      <c r="B102" s="1259">
        <v>66</v>
      </c>
      <c r="C102" s="327"/>
      <c r="D102" s="327"/>
      <c r="E102" s="327"/>
      <c r="F102" s="327"/>
    </row>
    <row r="103" spans="1:6">
      <c r="A103" s="1258" t="s">
        <v>76</v>
      </c>
      <c r="B103" s="1259">
        <v>193</v>
      </c>
      <c r="C103" s="327"/>
      <c r="D103" s="327"/>
      <c r="E103" s="327"/>
      <c r="F103" s="327"/>
    </row>
    <row r="104" spans="1:6">
      <c r="A104" s="1258" t="s">
        <v>77</v>
      </c>
      <c r="B104" s="1259">
        <v>1595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2</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127</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50437.914116932065</v>
      </c>
      <c r="C3" s="43" t="s">
        <v>163</v>
      </c>
      <c r="D3" s="43"/>
      <c r="E3" s="156"/>
      <c r="F3" s="43"/>
      <c r="G3" s="43"/>
      <c r="H3" s="43"/>
      <c r="I3" s="43"/>
      <c r="J3" s="43"/>
      <c r="K3" s="96"/>
    </row>
    <row r="4" spans="1:11">
      <c r="A4" s="353" t="s">
        <v>164</v>
      </c>
      <c r="B4" s="49">
        <f>IF(ISERROR('SEAP template'!B78+'SEAP template'!C78),0,'SEAP template'!B78+'SEAP template'!C78)</f>
        <v>24102.713411114193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4556.7635294117654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0.20573497272984961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6509.6621848739505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27392.142857142859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1017.879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1017.879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0.20573497272984961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209.4133083072866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21429.226608452202</v>
      </c>
      <c r="C5" s="17">
        <f>IF(ISERROR('Eigen informatie GS &amp; warmtenet'!B57),0,'Eigen informatie GS &amp; warmtenet'!B57)</f>
        <v>0</v>
      </c>
      <c r="D5" s="30">
        <f>(SUM(HH_hh_gas_kWh,HH_rest_gas_kWh)/1000)*0.902</f>
        <v>58896.730351408311</v>
      </c>
      <c r="E5" s="17">
        <f>B32*B41</f>
        <v>1299.1790591539257</v>
      </c>
      <c r="F5" s="17">
        <f>B36*B45</f>
        <v>39813.956463237038</v>
      </c>
      <c r="G5" s="18"/>
      <c r="H5" s="17"/>
      <c r="I5" s="17"/>
      <c r="J5" s="17">
        <f>B35*B44+C35*C44</f>
        <v>753.99705888335131</v>
      </c>
      <c r="K5" s="17"/>
      <c r="L5" s="17"/>
      <c r="M5" s="17"/>
      <c r="N5" s="17">
        <f>B34*B43+C34*C43</f>
        <v>8952.4810210943051</v>
      </c>
      <c r="O5" s="17">
        <f>B52*B53*B54</f>
        <v>201.67000000000004</v>
      </c>
      <c r="P5" s="17">
        <f>B60*B61*B62/1000-B60*B61*B62/1000/B63</f>
        <v>152.53333333333333</v>
      </c>
    </row>
    <row r="6" spans="1:16">
      <c r="A6" s="16" t="s">
        <v>592</v>
      </c>
      <c r="B6" s="733">
        <f>kWh_PV_kleiner_dan_10kW</f>
        <v>3488.2983920922848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24917.525000544487</v>
      </c>
      <c r="C8" s="21">
        <f>C5</f>
        <v>0</v>
      </c>
      <c r="D8" s="21">
        <f>D5</f>
        <v>58896.730351408311</v>
      </c>
      <c r="E8" s="21">
        <f>E5</f>
        <v>1299.1790591539257</v>
      </c>
      <c r="F8" s="21">
        <f>F5</f>
        <v>39813.956463237038</v>
      </c>
      <c r="G8" s="21"/>
      <c r="H8" s="21"/>
      <c r="I8" s="21"/>
      <c r="J8" s="21">
        <f>J5</f>
        <v>753.99705888335131</v>
      </c>
      <c r="K8" s="21"/>
      <c r="L8" s="21">
        <f>L5</f>
        <v>0</v>
      </c>
      <c r="M8" s="21">
        <f>M5</f>
        <v>0</v>
      </c>
      <c r="N8" s="21">
        <f>N5</f>
        <v>8952.4810210943051</v>
      </c>
      <c r="O8" s="21">
        <f>O5</f>
        <v>201.67000000000004</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0.20573497272984961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5126.4063264823662</v>
      </c>
      <c r="C12" s="23">
        <f ca="1">C10*C8</f>
        <v>0</v>
      </c>
      <c r="D12" s="23">
        <f>D8*D10</f>
        <v>11897.139530984479</v>
      </c>
      <c r="E12" s="23">
        <f>E10*E8</f>
        <v>294.91364642794116</v>
      </c>
      <c r="F12" s="23">
        <f>F10*F8</f>
        <v>10630.32637568429</v>
      </c>
      <c r="G12" s="23"/>
      <c r="H12" s="23"/>
      <c r="I12" s="23"/>
      <c r="J12" s="23">
        <f>J10*J8</f>
        <v>266.91495884470635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5718</v>
      </c>
      <c r="C26" s="36"/>
      <c r="D26" s="227"/>
    </row>
    <row r="27" spans="1:5" s="15" customFormat="1">
      <c r="A27" s="229" t="s">
        <v>697</v>
      </c>
      <c r="B27" s="37">
        <f>SUM(HH_hh_gas_aantal,HH_rest_gas_aantal)</f>
        <v>3629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3447.55</v>
      </c>
      <c r="C31" s="34" t="s">
        <v>104</v>
      </c>
      <c r="D31" s="173"/>
    </row>
    <row r="32" spans="1:5">
      <c r="A32" s="170" t="s">
        <v>72</v>
      </c>
      <c r="B32" s="33">
        <f>IF((B21*($B$26-($B$27-0.05*$B$27)-$B$60))&lt;0,0,B21*($B$26-($B$27-0.05*$B$27)-$B$60))</f>
        <v>56.655282074970522</v>
      </c>
      <c r="C32" s="34" t="s">
        <v>104</v>
      </c>
      <c r="D32" s="173"/>
    </row>
    <row r="33" spans="1:6">
      <c r="A33" s="170" t="s">
        <v>73</v>
      </c>
      <c r="B33" s="33">
        <f>IF((B22*($B$26-($B$27-0.05*$B$27)-$B$60))&lt;0,0,B22*($B$26-($B$27-0.05*$B$27)-$B$60))</f>
        <v>381.35649591760256</v>
      </c>
      <c r="C33" s="34" t="s">
        <v>104</v>
      </c>
      <c r="D33" s="173"/>
    </row>
    <row r="34" spans="1:6">
      <c r="A34" s="170" t="s">
        <v>74</v>
      </c>
      <c r="B34" s="33">
        <f>IF((B24*($B$26-($B$27-0.05*$B$27)-$B$60))&lt;0,0,B24*($B$26-($B$27-0.05*$B$27)-$B$60))</f>
        <v>96.755312117719924</v>
      </c>
      <c r="C34" s="33">
        <f>B26*C24</f>
        <v>1169.6744667013577</v>
      </c>
      <c r="D34" s="232"/>
    </row>
    <row r="35" spans="1:6">
      <c r="A35" s="170" t="s">
        <v>76</v>
      </c>
      <c r="B35" s="33">
        <f>IF((B19*($B$26-($B$27-0.05*$B$27)-$B$60))&lt;0,0,B19*($B$26-($B$27-0.05*$B$27)-$B$60))</f>
        <v>35.957452172890243</v>
      </c>
      <c r="C35" s="33">
        <f>B35/2</f>
        <v>17.978726086445121</v>
      </c>
      <c r="D35" s="232"/>
    </row>
    <row r="36" spans="1:6">
      <c r="A36" s="170" t="s">
        <v>77</v>
      </c>
      <c r="B36" s="33">
        <f>IF((B18*($B$26-($B$27-0.05*$B$27)-$B$60))&lt;0,0,B18*($B$26-($B$27-0.05*$B$27)-$B$60))</f>
        <v>1691.7254577168167</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129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10812.829080792018</v>
      </c>
      <c r="C5" s="17">
        <f>IF(ISERROR('Eigen informatie GS &amp; warmtenet'!B58),0,'Eigen informatie GS &amp; warmtenet'!B58)</f>
        <v>0</v>
      </c>
      <c r="D5" s="30">
        <f>SUM(D6:D12)</f>
        <v>14321.424508157528</v>
      </c>
      <c r="E5" s="17">
        <f>SUM(E6:E12)</f>
        <v>59.611941955799693</v>
      </c>
      <c r="F5" s="17">
        <f>SUM(F6:F12)</f>
        <v>1425.487155332419</v>
      </c>
      <c r="G5" s="18"/>
      <c r="H5" s="17"/>
      <c r="I5" s="17"/>
      <c r="J5" s="17">
        <f>SUM(J6:J12)</f>
        <v>13.229091674259738</v>
      </c>
      <c r="K5" s="17"/>
      <c r="L5" s="17"/>
      <c r="M5" s="17"/>
      <c r="N5" s="17">
        <f>SUM(N6:N12)</f>
        <v>1272.6217213642858</v>
      </c>
      <c r="O5" s="17">
        <f>B38*B39*B40</f>
        <v>3.1266666666666669</v>
      </c>
      <c r="P5" s="17">
        <f>B46*B47*B48/1000-B46*B47*B48/1000/B49</f>
        <v>19.066666666666666</v>
      </c>
      <c r="R5" s="32"/>
    </row>
    <row r="6" spans="1:18">
      <c r="A6" s="32" t="s">
        <v>53</v>
      </c>
      <c r="B6" s="37">
        <f>B26</f>
        <v>1151.9266178925</v>
      </c>
      <c r="C6" s="33"/>
      <c r="D6" s="37">
        <f>IF(ISERROR(TER_kantoor_gas_kWh/1000),0,TER_kantoor_gas_kWh/1000)*0.902</f>
        <v>3418.8012359107265</v>
      </c>
      <c r="E6" s="33">
        <f>$C$26*'E Balans VL '!I12/100/3.6*1000000</f>
        <v>9.7232653548888006</v>
      </c>
      <c r="F6" s="33">
        <f>$C$26*('E Balans VL '!L12+'E Balans VL '!N12)/100/3.6*1000000</f>
        <v>154.46060522916929</v>
      </c>
      <c r="G6" s="34"/>
      <c r="H6" s="33"/>
      <c r="I6" s="33"/>
      <c r="J6" s="33">
        <f>$C$26*('E Balans VL '!D12+'E Balans VL '!E12)/100/3.6*1000000</f>
        <v>0</v>
      </c>
      <c r="K6" s="33"/>
      <c r="L6" s="33"/>
      <c r="M6" s="33"/>
      <c r="N6" s="33">
        <f>$C$26*'E Balans VL '!Y12/100/3.6*1000000</f>
        <v>10.130838336105015</v>
      </c>
      <c r="O6" s="33"/>
      <c r="P6" s="33"/>
      <c r="R6" s="32"/>
    </row>
    <row r="7" spans="1:18">
      <c r="A7" s="32" t="s">
        <v>52</v>
      </c>
      <c r="B7" s="37">
        <f t="shared" ref="B7:B12" si="0">B27</f>
        <v>1183.4734126107599</v>
      </c>
      <c r="C7" s="33"/>
      <c r="D7" s="37">
        <f>IF(ISERROR(TER_horeca_gas_kWh/1000),0,TER_horeca_gas_kWh/1000)*0.902</f>
        <v>1840.2401228593294</v>
      </c>
      <c r="E7" s="33">
        <f>$C$27*'E Balans VL '!I9/100/3.6*1000000</f>
        <v>15.560312658677963</v>
      </c>
      <c r="F7" s="33">
        <f>$C$27*('E Balans VL '!L9+'E Balans VL '!N9)/100/3.6*1000000</f>
        <v>297.21437394322874</v>
      </c>
      <c r="G7" s="34"/>
      <c r="H7" s="33"/>
      <c r="I7" s="33"/>
      <c r="J7" s="33">
        <f>$C$27*('E Balans VL '!D9+'E Balans VL '!E9)/100/3.6*1000000</f>
        <v>0</v>
      </c>
      <c r="K7" s="33"/>
      <c r="L7" s="33"/>
      <c r="M7" s="33"/>
      <c r="N7" s="33">
        <f>$C$27*'E Balans VL '!Y9/100/3.6*1000000</f>
        <v>0.32218610959319244</v>
      </c>
      <c r="O7" s="33"/>
      <c r="P7" s="33"/>
      <c r="R7" s="32"/>
    </row>
    <row r="8" spans="1:18">
      <c r="A8" s="6" t="s">
        <v>51</v>
      </c>
      <c r="B8" s="37">
        <f t="shared" si="0"/>
        <v>3729.31471897846</v>
      </c>
      <c r="C8" s="33"/>
      <c r="D8" s="37">
        <f>IF(ISERROR(TER_handel_gas_kWh/1000),0,TER_handel_gas_kWh/1000)*0.902</f>
        <v>3226.1360729242601</v>
      </c>
      <c r="E8" s="33">
        <f>$C$28*'E Balans VL '!I13/100/3.6*1000000</f>
        <v>16.332041053848851</v>
      </c>
      <c r="F8" s="33">
        <f>$C$28*('E Balans VL '!L13+'E Balans VL '!N13)/100/3.6*1000000</f>
        <v>250.66447818561534</v>
      </c>
      <c r="G8" s="34"/>
      <c r="H8" s="33"/>
      <c r="I8" s="33"/>
      <c r="J8" s="33">
        <f>$C$28*('E Balans VL '!D13+'E Balans VL '!E13)/100/3.6*1000000</f>
        <v>0</v>
      </c>
      <c r="K8" s="33"/>
      <c r="L8" s="33"/>
      <c r="M8" s="33"/>
      <c r="N8" s="33">
        <f>$C$28*'E Balans VL '!Y13/100/3.6*1000000</f>
        <v>11.017347693170464</v>
      </c>
      <c r="O8" s="33"/>
      <c r="P8" s="33"/>
      <c r="R8" s="32"/>
    </row>
    <row r="9" spans="1:18">
      <c r="A9" s="32" t="s">
        <v>50</v>
      </c>
      <c r="B9" s="37">
        <f t="shared" si="0"/>
        <v>114.742992439817</v>
      </c>
      <c r="C9" s="33"/>
      <c r="D9" s="37">
        <f>IF(ISERROR(TER_gezond_gas_kWh/1000),0,TER_gezond_gas_kWh/1000)*0.902</f>
        <v>52.656722395785089</v>
      </c>
      <c r="E9" s="33">
        <f>$C$29*'E Balans VL '!I10/100/3.6*1000000</f>
        <v>3.9460621694355609E-2</v>
      </c>
      <c r="F9" s="33">
        <f>$C$29*('E Balans VL '!L10+'E Balans VL '!N10)/100/3.6*1000000</f>
        <v>10.028989489320525</v>
      </c>
      <c r="G9" s="34"/>
      <c r="H9" s="33"/>
      <c r="I9" s="33"/>
      <c r="J9" s="33">
        <f>$C$29*('E Balans VL '!D10+'E Balans VL '!E10)/100/3.6*1000000</f>
        <v>4.7596377284603459</v>
      </c>
      <c r="K9" s="33"/>
      <c r="L9" s="33"/>
      <c r="M9" s="33"/>
      <c r="N9" s="33">
        <f>$C$29*'E Balans VL '!Y10/100/3.6*1000000</f>
        <v>1.2030378738980707</v>
      </c>
      <c r="O9" s="33"/>
      <c r="P9" s="33"/>
      <c r="R9" s="32"/>
    </row>
    <row r="10" spans="1:18">
      <c r="A10" s="32" t="s">
        <v>49</v>
      </c>
      <c r="B10" s="37">
        <f t="shared" si="0"/>
        <v>1767.1566355763298</v>
      </c>
      <c r="C10" s="33"/>
      <c r="D10" s="37">
        <f>IF(ISERROR(TER_ander_gas_kWh/1000),0,TER_ander_gas_kWh/1000)*0.902</f>
        <v>768.52464545999521</v>
      </c>
      <c r="E10" s="33">
        <f>$C$30*'E Balans VL '!I14/100/3.6*1000000</f>
        <v>1.0509925309601165</v>
      </c>
      <c r="F10" s="33">
        <f>$C$30*('E Balans VL '!L14+'E Balans VL '!N14)/100/3.6*1000000</f>
        <v>312.88062937480845</v>
      </c>
      <c r="G10" s="34"/>
      <c r="H10" s="33"/>
      <c r="I10" s="33"/>
      <c r="J10" s="33">
        <f>$C$30*('E Balans VL '!D14+'E Balans VL '!E14)/100/3.6*1000000</f>
        <v>0</v>
      </c>
      <c r="K10" s="33"/>
      <c r="L10" s="33"/>
      <c r="M10" s="33"/>
      <c r="N10" s="33">
        <f>$C$30*'E Balans VL '!Y14/100/3.6*1000000</f>
        <v>1049.2773666992016</v>
      </c>
      <c r="O10" s="33"/>
      <c r="P10" s="33"/>
      <c r="R10" s="32"/>
    </row>
    <row r="11" spans="1:18">
      <c r="A11" s="32" t="s">
        <v>54</v>
      </c>
      <c r="B11" s="37">
        <f t="shared" si="0"/>
        <v>85.009987283551808</v>
      </c>
      <c r="C11" s="33"/>
      <c r="D11" s="37">
        <f>IF(ISERROR(TER_onderwijs_gas_kWh/1000),0,TER_onderwijs_gas_kWh/1000)*0.902</f>
        <v>551.21828048968803</v>
      </c>
      <c r="E11" s="33">
        <f>$C$31*'E Balans VL '!I11/100/3.6*1000000</f>
        <v>5.6544480016926621E-2</v>
      </c>
      <c r="F11" s="33">
        <f>$C$31*('E Balans VL '!L11+'E Balans VL '!N11)/100/3.6*1000000</f>
        <v>27.235543521916028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2781.2047160105999</v>
      </c>
      <c r="C12" s="33"/>
      <c r="D12" s="37">
        <f>IF(ISERROR(TER_rest_gas_kWh/1000),0,TER_rest_gas_kWh/1000)*0.902</f>
        <v>4463.8474281177459</v>
      </c>
      <c r="E12" s="33">
        <f>$C$32*'E Balans VL '!I8/100/3.6*1000000</f>
        <v>16.849325255712685</v>
      </c>
      <c r="F12" s="33">
        <f>$C$32*('E Balans VL '!L8+'E Balans VL '!N8)/100/3.6*1000000</f>
        <v>373.00253558836056</v>
      </c>
      <c r="G12" s="34"/>
      <c r="H12" s="33"/>
      <c r="I12" s="33"/>
      <c r="J12" s="33">
        <f>$C$32*('E Balans VL '!D8+'E Balans VL '!E8)/100/3.6*1000000</f>
        <v>8.4694539457993923</v>
      </c>
      <c r="K12" s="33"/>
      <c r="L12" s="33"/>
      <c r="M12" s="33"/>
      <c r="N12" s="33">
        <f>$C$32*'E Balans VL '!Y8/100/3.6*1000000</f>
        <v>200.67094465231744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10812.829080792018</v>
      </c>
      <c r="C16" s="21">
        <f t="shared" ca="1" si="1"/>
        <v>0</v>
      </c>
      <c r="D16" s="21">
        <f t="shared" ca="1" si="1"/>
        <v>14321.424508157528</v>
      </c>
      <c r="E16" s="21">
        <f t="shared" si="1"/>
        <v>59.611941955799693</v>
      </c>
      <c r="F16" s="21">
        <f t="shared" ca="1" si="1"/>
        <v>1425.487155332419</v>
      </c>
      <c r="G16" s="21">
        <f t="shared" si="1"/>
        <v>0</v>
      </c>
      <c r="H16" s="21">
        <f t="shared" si="1"/>
        <v>0</v>
      </c>
      <c r="I16" s="21">
        <f t="shared" si="1"/>
        <v>0</v>
      </c>
      <c r="J16" s="21">
        <f t="shared" si="1"/>
        <v>13.229091674259738</v>
      </c>
      <c r="K16" s="21">
        <f t="shared" si="1"/>
        <v>0</v>
      </c>
      <c r="L16" s="21">
        <f t="shared" ca="1" si="1"/>
        <v>0</v>
      </c>
      <c r="M16" s="21">
        <f t="shared" si="1"/>
        <v>0</v>
      </c>
      <c r="N16" s="21">
        <f t="shared" ca="1" si="1"/>
        <v>1272.6217213642858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0.20573497272984961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2224.5770960692707</v>
      </c>
      <c r="C20" s="23">
        <f t="shared" ref="C20:P20" ca="1" si="2">C16*C18</f>
        <v>0</v>
      </c>
      <c r="D20" s="23">
        <f t="shared" ca="1" si="2"/>
        <v>2892.9277506478211</v>
      </c>
      <c r="E20" s="23">
        <f t="shared" si="2"/>
        <v>13.53191082396653</v>
      </c>
      <c r="F20" s="23">
        <f t="shared" ca="1" si="2"/>
        <v>380.60507047375592</v>
      </c>
      <c r="G20" s="23">
        <f t="shared" si="2"/>
        <v>0</v>
      </c>
      <c r="H20" s="23">
        <f t="shared" si="2"/>
        <v>0</v>
      </c>
      <c r="I20" s="23">
        <f t="shared" si="2"/>
        <v>0</v>
      </c>
      <c r="J20" s="23">
        <f t="shared" si="2"/>
        <v>4.6830984526879469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1151.9266178925</v>
      </c>
      <c r="C26" s="39">
        <f>IF(ISERROR(B26*3.6/1000000/'E Balans VL '!Z12*100),0,B26*3.6/1000000/'E Balans VL '!Z12*100)</f>
        <v>2.4142951841536441E-2</v>
      </c>
      <c r="D26" s="235" t="s">
        <v>647</v>
      </c>
      <c r="F26" s="6"/>
    </row>
    <row r="27" spans="1:18">
      <c r="A27" s="230" t="s">
        <v>52</v>
      </c>
      <c r="B27" s="33">
        <f>IF(ISERROR(TER_horeca_ele_kWh/1000),0,TER_horeca_ele_kWh/1000)</f>
        <v>1183.4734126107599</v>
      </c>
      <c r="C27" s="39">
        <f>IF(ISERROR(B27*3.6/1000000/'E Balans VL '!Z9*100),0,B27*3.6/1000000/'E Balans VL '!Z9*100)</f>
        <v>9.0736702903931113E-2</v>
      </c>
      <c r="D27" s="235" t="s">
        <v>647</v>
      </c>
      <c r="F27" s="6"/>
    </row>
    <row r="28" spans="1:18">
      <c r="A28" s="170" t="s">
        <v>51</v>
      </c>
      <c r="B28" s="33">
        <f>IF(ISERROR(TER_handel_ele_kWh/1000),0,TER_handel_ele_kWh/1000)</f>
        <v>3729.31471897846</v>
      </c>
      <c r="C28" s="39">
        <f>IF(ISERROR(B28*3.6/1000000/'E Balans VL '!Z13*100),0,B28*3.6/1000000/'E Balans VL '!Z13*100)</f>
        <v>0.10520946978081662</v>
      </c>
      <c r="D28" s="235" t="s">
        <v>647</v>
      </c>
      <c r="F28" s="6"/>
    </row>
    <row r="29" spans="1:18">
      <c r="A29" s="230" t="s">
        <v>50</v>
      </c>
      <c r="B29" s="33">
        <f>IF(ISERROR(TER_gezond_ele_kWh/1000),0,TER_gezond_ele_kWh/1000)</f>
        <v>114.742992439817</v>
      </c>
      <c r="C29" s="39">
        <f>IF(ISERROR(B29*3.6/1000000/'E Balans VL '!Z10*100),0,B29*3.6/1000000/'E Balans VL '!Z10*100)</f>
        <v>1.2740782248438321E-2</v>
      </c>
      <c r="D29" s="235" t="s">
        <v>647</v>
      </c>
      <c r="F29" s="6"/>
    </row>
    <row r="30" spans="1:18">
      <c r="A30" s="230" t="s">
        <v>49</v>
      </c>
      <c r="B30" s="33">
        <f>IF(ISERROR(TER_ander_ele_kWh/1000),0,TER_ander_ele_kWh/1000)</f>
        <v>1767.1566355763298</v>
      </c>
      <c r="C30" s="39">
        <f>IF(ISERROR(B30*3.6/1000000/'E Balans VL '!Z14*100),0,B30*3.6/1000000/'E Balans VL '!Z14*100)</f>
        <v>0.12750994627592549</v>
      </c>
      <c r="D30" s="235" t="s">
        <v>647</v>
      </c>
      <c r="F30" s="6"/>
    </row>
    <row r="31" spans="1:18">
      <c r="A31" s="230" t="s">
        <v>54</v>
      </c>
      <c r="B31" s="33">
        <f>IF(ISERROR(TER_onderwijs_ele_kWh/1000),0,TER_onderwijs_ele_kWh/1000)</f>
        <v>85.009987283551808</v>
      </c>
      <c r="C31" s="39">
        <f>IF(ISERROR(B31*3.6/1000000/'E Balans VL '!Z11*100),0,B31*3.6/1000000/'E Balans VL '!Z11*100)</f>
        <v>2.3564095102041119E-2</v>
      </c>
      <c r="D31" s="235" t="s">
        <v>647</v>
      </c>
    </row>
    <row r="32" spans="1:18">
      <c r="A32" s="230" t="s">
        <v>249</v>
      </c>
      <c r="B32" s="33">
        <f>IF(ISERROR(TER_rest_ele_kWh/1000),0,TER_rest_ele_kWh/1000)</f>
        <v>2781.2047160105999</v>
      </c>
      <c r="C32" s="39">
        <f>IF(ISERROR(B32*3.6/1000000/'E Balans VL '!Z8*100),0,B32*3.6/1000000/'E Balans VL '!Z8*100)</f>
        <v>2.2671361696578712E-2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9990.6520123049704</v>
      </c>
      <c r="C5" s="17">
        <f>IF(ISERROR('Eigen informatie GS &amp; warmtenet'!B59),0,'Eigen informatie GS &amp; warmtenet'!B59)</f>
        <v>0</v>
      </c>
      <c r="D5" s="30">
        <f>SUM(D6:D15)</f>
        <v>84504.882528644899</v>
      </c>
      <c r="E5" s="17">
        <f>SUM(E6:E15)</f>
        <v>1019.5421715152227</v>
      </c>
      <c r="F5" s="17">
        <f>SUM(F6:F15)</f>
        <v>4573.8722950415176</v>
      </c>
      <c r="G5" s="18"/>
      <c r="H5" s="17"/>
      <c r="I5" s="17"/>
      <c r="J5" s="17">
        <f>SUM(J6:J15)</f>
        <v>17.55713759856885</v>
      </c>
      <c r="K5" s="17"/>
      <c r="L5" s="17"/>
      <c r="M5" s="17"/>
      <c r="N5" s="17">
        <f>SUM(N6:N15)</f>
        <v>806.09924404369235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43.572122711549397</v>
      </c>
      <c r="C8" s="33"/>
      <c r="D8" s="37">
        <f>IF( ISERROR(IND_metaal_Gas_kWH/1000),0,IND_metaal_Gas_kWH/1000)*0.902</f>
        <v>0</v>
      </c>
      <c r="E8" s="33">
        <f>C30*'E Balans VL '!I18/100/3.6*1000000</f>
        <v>1.2515549139603184</v>
      </c>
      <c r="F8" s="33">
        <f>C30*'E Balans VL '!L18/100/3.6*1000000+C30*'E Balans VL '!N18/100/3.6*1000000</f>
        <v>11.175411463160847</v>
      </c>
      <c r="G8" s="34"/>
      <c r="H8" s="33"/>
      <c r="I8" s="33"/>
      <c r="J8" s="40">
        <f>C30*'E Balans VL '!D18/100/3.6*1000000+C30*'E Balans VL '!E18/100/3.6*1000000</f>
        <v>0</v>
      </c>
      <c r="K8" s="33"/>
      <c r="L8" s="33"/>
      <c r="M8" s="33"/>
      <c r="N8" s="33">
        <f>C30*'E Balans VL '!Y18/100/3.6*1000000</f>
        <v>1.1830720749223049</v>
      </c>
      <c r="O8" s="33"/>
      <c r="P8" s="33"/>
      <c r="R8" s="32"/>
    </row>
    <row r="9" spans="1:18">
      <c r="A9" s="6" t="s">
        <v>32</v>
      </c>
      <c r="B9" s="37">
        <f t="shared" si="0"/>
        <v>2027.33307838926</v>
      </c>
      <c r="C9" s="33"/>
      <c r="D9" s="37">
        <f>IF( ISERROR(IND_andere_gas_kWh/1000),0,IND_andere_gas_kWh/1000)*0.902</f>
        <v>2038.5825813010465</v>
      </c>
      <c r="E9" s="33">
        <f>C31*'E Balans VL '!I19/100/3.6*1000000</f>
        <v>548.74921819957729</v>
      </c>
      <c r="F9" s="33">
        <f>C31*'E Balans VL '!L19/100/3.6*1000000+C31*'E Balans VL '!N19/100/3.6*1000000</f>
        <v>1350.4183668615558</v>
      </c>
      <c r="G9" s="34"/>
      <c r="H9" s="33"/>
      <c r="I9" s="33"/>
      <c r="J9" s="40">
        <f>C31*'E Balans VL '!D19/100/3.6*1000000+C31*'E Balans VL '!E19/100/3.6*1000000</f>
        <v>0</v>
      </c>
      <c r="K9" s="33"/>
      <c r="L9" s="33"/>
      <c r="M9" s="33"/>
      <c r="N9" s="33">
        <f>C31*'E Balans VL '!Y19/100/3.6*1000000</f>
        <v>171.39758222973839</v>
      </c>
      <c r="O9" s="33"/>
      <c r="P9" s="33"/>
      <c r="R9" s="32"/>
    </row>
    <row r="10" spans="1:18">
      <c r="A10" s="6" t="s">
        <v>40</v>
      </c>
      <c r="B10" s="37">
        <f t="shared" si="0"/>
        <v>1075.23525608353</v>
      </c>
      <c r="C10" s="33"/>
      <c r="D10" s="37">
        <f>IF( ISERROR(IND_voed_gas_kWh/1000),0,IND_voed_gas_kWh/1000)*0.902</f>
        <v>80980.859184057554</v>
      </c>
      <c r="E10" s="33">
        <f>C32*'E Balans VL '!I20/100/3.6*1000000</f>
        <v>87.698657774893306</v>
      </c>
      <c r="F10" s="33">
        <f>C32*'E Balans VL '!L20/100/3.6*1000000+C32*'E Balans VL '!N20/100/3.6*1000000</f>
        <v>1603.2733207107729</v>
      </c>
      <c r="G10" s="34"/>
      <c r="H10" s="33"/>
      <c r="I10" s="33"/>
      <c r="J10" s="40">
        <f>C32*'E Balans VL '!D20/100/3.6*1000000+C32*'E Balans VL '!E20/100/3.6*1000000</f>
        <v>1.4224057277472295E-2</v>
      </c>
      <c r="K10" s="33"/>
      <c r="L10" s="33"/>
      <c r="M10" s="33"/>
      <c r="N10" s="33">
        <f>C32*'E Balans VL '!Y20/100/3.6*1000000</f>
        <v>315.86617727624656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6844.51155512063</v>
      </c>
      <c r="C15" s="33"/>
      <c r="D15" s="37">
        <f>IF( ISERROR(IND_rest_gas_kWh/1000),0,IND_rest_gas_kWh/1000)*0.902</f>
        <v>1485.4407632862972</v>
      </c>
      <c r="E15" s="33">
        <f>C37*'E Balans VL '!I15/100/3.6*1000000</f>
        <v>381.84274062679185</v>
      </c>
      <c r="F15" s="33">
        <f>C37*'E Balans VL '!L15/100/3.6*1000000+C37*'E Balans VL '!N15/100/3.6*1000000</f>
        <v>1609.0051960060284</v>
      </c>
      <c r="G15" s="34"/>
      <c r="H15" s="33"/>
      <c r="I15" s="33"/>
      <c r="J15" s="40">
        <f>C37*'E Balans VL '!D15/100/3.6*1000000+C37*'E Balans VL '!E15/100/3.6*1000000</f>
        <v>17.542913541291377</v>
      </c>
      <c r="K15" s="33"/>
      <c r="L15" s="33"/>
      <c r="M15" s="33"/>
      <c r="N15" s="33">
        <f>C37*'E Balans VL '!Y15/100/3.6*1000000</f>
        <v>317.65241246278509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9990.6520123049704</v>
      </c>
      <c r="C18" s="21">
        <f>C5+C16</f>
        <v>0</v>
      </c>
      <c r="D18" s="21">
        <f>MAX((D5+D16),0)</f>
        <v>84504.882528644899</v>
      </c>
      <c r="E18" s="21">
        <f>MAX((E5+E16),0)</f>
        <v>1019.5421715152227</v>
      </c>
      <c r="F18" s="21">
        <f>MAX((F5+F16),0)</f>
        <v>4573.8722950415176</v>
      </c>
      <c r="G18" s="21"/>
      <c r="H18" s="21"/>
      <c r="I18" s="21"/>
      <c r="J18" s="21">
        <f>MAX((J5+J16),0)</f>
        <v>17.55713759856885</v>
      </c>
      <c r="K18" s="21"/>
      <c r="L18" s="21">
        <f>MAX((L5+L16),0)</f>
        <v>0</v>
      </c>
      <c r="M18" s="21"/>
      <c r="N18" s="21">
        <f>MAX((N5+N16),0)</f>
        <v>806.09924404369235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0.20573497272984961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2055.42651930498</v>
      </c>
      <c r="C22" s="23">
        <f ca="1">C18*C20</f>
        <v>0</v>
      </c>
      <c r="D22" s="23">
        <f>D18*D20</f>
        <v>17069.98627078627</v>
      </c>
      <c r="E22" s="23">
        <f>E18*E20</f>
        <v>231.43607293395556</v>
      </c>
      <c r="F22" s="23">
        <f>F18*F20</f>
        <v>1221.2239027760852</v>
      </c>
      <c r="G22" s="23"/>
      <c r="H22" s="23"/>
      <c r="I22" s="23"/>
      <c r="J22" s="23">
        <f>J18*J20</f>
        <v>6.2152267098933729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43.572122711549397</v>
      </c>
      <c r="C30" s="39">
        <f>IF(ISERROR(B30*3.6/1000000/'E Balans VL '!Z18*100),0,B30*3.6/1000000/'E Balans VL '!Z18*100)</f>
        <v>4.2873856470357239E-3</v>
      </c>
      <c r="D30" s="235" t="s">
        <v>647</v>
      </c>
    </row>
    <row r="31" spans="1:18">
      <c r="A31" s="6" t="s">
        <v>32</v>
      </c>
      <c r="B31" s="37">
        <f>IF( ISERROR(IND_ander_ele_kWh/1000),0,IND_ander_ele_kWh/1000)</f>
        <v>2027.33307838926</v>
      </c>
      <c r="C31" s="39">
        <f>IF(ISERROR(B31*3.6/1000000/'E Balans VL '!Z19*100),0,B31*3.6/1000000/'E Balans VL '!Z19*100)</f>
        <v>8.8288738376185991E-2</v>
      </c>
      <c r="D31" s="235" t="s">
        <v>647</v>
      </c>
    </row>
    <row r="32" spans="1:18">
      <c r="A32" s="170" t="s">
        <v>40</v>
      </c>
      <c r="B32" s="37">
        <f>IF( ISERROR(IND_voed_ele_kWh/1000),0,IND_voed_ele_kWh/1000)</f>
        <v>1075.23525608353</v>
      </c>
      <c r="C32" s="39">
        <f>IF(ISERROR(B32*3.6/1000000/'E Balans VL '!Z20*100),0,B32*3.6/1000000/'E Balans VL '!Z20*100)</f>
        <v>0.20401038326254284</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6844.51155512063</v>
      </c>
      <c r="C37" s="39">
        <f>IF(ISERROR(B37*3.6/1000000/'E Balans VL '!Z15*100),0,B37*3.6/1000000/'E Balans VL '!Z15*100)</f>
        <v>5.2745368325274183E-2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2923.6935357861089</v>
      </c>
      <c r="C5" s="17">
        <f>'Eigen informatie GS &amp; warmtenet'!B60</f>
        <v>0</v>
      </c>
      <c r="D5" s="30">
        <f>IF(ISERROR(SUM(LB_lb_gas_kWh,LB_rest_gas_kWh)/1000),0,SUM(LB_lb_gas_kWh,LB_rest_gas_kWh)/1000)*0.902</f>
        <v>288.80273499202207</v>
      </c>
      <c r="E5" s="17">
        <f>B17*'E Balans VL '!I25/3.6*1000000/100</f>
        <v>60.709648856910569</v>
      </c>
      <c r="F5" s="17">
        <f>B17*('E Balans VL '!L25/3.6*1000000+'E Balans VL '!N25/3.6*1000000)/100</f>
        <v>10332.407559587522</v>
      </c>
      <c r="G5" s="18"/>
      <c r="H5" s="17"/>
      <c r="I5" s="17"/>
      <c r="J5" s="17">
        <f>('E Balans VL '!D25+'E Balans VL '!E25)/3.6*1000000*landbouw!B17/100</f>
        <v>335.32915668912676</v>
      </c>
      <c r="K5" s="17"/>
      <c r="L5" s="17">
        <f>L6*(-1)</f>
        <v>0</v>
      </c>
      <c r="M5" s="17"/>
      <c r="N5" s="17">
        <f>N6*(-1)</f>
        <v>0</v>
      </c>
      <c r="O5" s="17"/>
      <c r="P5" s="17"/>
      <c r="R5" s="32"/>
    </row>
    <row r="6" spans="1:18">
      <c r="A6" s="16" t="s">
        <v>483</v>
      </c>
      <c r="B6" s="17" t="s">
        <v>204</v>
      </c>
      <c r="C6" s="17">
        <f>'lokale energieproductie'!O39+'lokale energieproductie'!O32</f>
        <v>27392.142857142859</v>
      </c>
      <c r="D6" s="305">
        <f>('lokale energieproductie'!P32+'lokale energieproductie'!P39)*(-1)</f>
        <v>-54784.285714285717</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2923.6935357861089</v>
      </c>
      <c r="C8" s="21">
        <f>C5+C6</f>
        <v>27392.142857142859</v>
      </c>
      <c r="D8" s="21">
        <f>MAX((D5+D6),0)</f>
        <v>0</v>
      </c>
      <c r="E8" s="21">
        <f>MAX((E5+E6),0)</f>
        <v>60.709648856910569</v>
      </c>
      <c r="F8" s="21">
        <f>MAX((F5+F6),0)</f>
        <v>10332.407559587522</v>
      </c>
      <c r="G8" s="21"/>
      <c r="H8" s="21"/>
      <c r="I8" s="21"/>
      <c r="J8" s="21">
        <f>MAX((J5+J6),0)</f>
        <v>335.32915668912676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0.20573497272984961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601.50600985539268</v>
      </c>
      <c r="C12" s="23">
        <f ca="1">C8*C10</f>
        <v>6509.6621848739505</v>
      </c>
      <c r="D12" s="23">
        <f>D8*D10</f>
        <v>0</v>
      </c>
      <c r="E12" s="23">
        <f>E8*E10</f>
        <v>13.7810902905187</v>
      </c>
      <c r="F12" s="23">
        <f>F8*F10</f>
        <v>2758.7528184098687</v>
      </c>
      <c r="G12" s="23"/>
      <c r="H12" s="23"/>
      <c r="I12" s="23"/>
      <c r="J12" s="23">
        <f>J8*J10</f>
        <v>118.70652146795086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0.40776309877085004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519.27848520880434</v>
      </c>
      <c r="C26" s="245">
        <f>B26*'GWP N2O_CH4'!B5</f>
        <v>10904.848189384891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395.94564807358717</v>
      </c>
      <c r="C27" s="245">
        <f>B27*'GWP N2O_CH4'!B5</f>
        <v>8314.8586095453302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9.0829434199182177</v>
      </c>
      <c r="C28" s="245">
        <f>B28*'GWP N2O_CH4'!B4</f>
        <v>2815.7124601746473</v>
      </c>
      <c r="D28" s="50"/>
    </row>
    <row r="29" spans="1:4">
      <c r="A29" s="41" t="s">
        <v>266</v>
      </c>
      <c r="B29" s="245">
        <f>B34*'ha_N2O bodem landbouw'!B4</f>
        <v>18.024744695083104</v>
      </c>
      <c r="C29" s="245">
        <f>B29*'GWP N2O_CH4'!B4</f>
        <v>5587.6708554757624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4.5005986420863977E-3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1.8829269670784037E-5</v>
      </c>
      <c r="C5" s="434" t="s">
        <v>204</v>
      </c>
      <c r="D5" s="419">
        <f>SUM(D6:D11)</f>
        <v>1.9848755010276098E-5</v>
      </c>
      <c r="E5" s="419">
        <f>SUM(E6:E11)</f>
        <v>6.957053053403174E-4</v>
      </c>
      <c r="F5" s="432" t="s">
        <v>204</v>
      </c>
      <c r="G5" s="419">
        <f>SUM(G6:G11)</f>
        <v>0.18482993736801234</v>
      </c>
      <c r="H5" s="419">
        <f>SUM(H6:H11)</f>
        <v>3.5861065728527215E-2</v>
      </c>
      <c r="I5" s="434" t="s">
        <v>204</v>
      </c>
      <c r="J5" s="434" t="s">
        <v>204</v>
      </c>
      <c r="K5" s="434" t="s">
        <v>204</v>
      </c>
      <c r="L5" s="434" t="s">
        <v>204</v>
      </c>
      <c r="M5" s="419">
        <f>SUM(M6:M11)</f>
        <v>9.979985042140772E-3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1.180398602868629E-5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1.0470229374482081E-5</v>
      </c>
      <c r="E6" s="836">
        <f>vkm_GW_PW*SUMIFS(TableVerdeelsleutelVkm[LPG],TableVerdeelsleutelVkm[Voertuigtype],"Lichte voertuigen")*SUMIFS(TableECFTransport[EnergieConsumptieFactor (PJ per km)],TableECFTransport[Index],CONCATENATE($A6,"_LPG_LPG"))</f>
        <v>3.7597729546388859E-4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7.4742192570138255E-2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1.9294242176881474E-2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4.2542260758529436E-3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2.5054447934592372E-7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3.9206485771360662E-2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1.0313497134465433E-6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1.770239518161579E-3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6.7204290914238399E-6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9.378525635794018E-6</v>
      </c>
      <c r="E8" s="422">
        <f>vkm_NGW_PW*SUMIFS(TableVerdeelsleutelVkm[LPG],TableVerdeelsleutelVkm[Voertuigtype],"Lichte voertuigen")*SUMIFS(TableECFTransport[EnergieConsumptieFactor (PJ per km)],TableECFTransport[Index],CONCATENATE($A8,"_LPG_LPG"))</f>
        <v>3.197280098764288E-4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5.9964505561634837E-2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1.6565522354721161E-2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3.4626102508626237E-3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5.4310071327986451E-8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1.0916753464878588E-2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2.6984721113195116E-7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4.9290919726362582E-4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5.2303526863288994</v>
      </c>
      <c r="C14" s="21"/>
      <c r="D14" s="21">
        <f t="shared" ref="D14:M14" si="0">((D5)*10^9/3600)+D12</f>
        <v>5.5135430584100273</v>
      </c>
      <c r="E14" s="21">
        <f t="shared" si="0"/>
        <v>193.25147370564372</v>
      </c>
      <c r="F14" s="21"/>
      <c r="G14" s="21">
        <f t="shared" si="0"/>
        <v>51341.649268892317</v>
      </c>
      <c r="H14" s="21">
        <f t="shared" si="0"/>
        <v>9961.4071468131169</v>
      </c>
      <c r="I14" s="21"/>
      <c r="J14" s="21"/>
      <c r="K14" s="21"/>
      <c r="L14" s="21"/>
      <c r="M14" s="21">
        <f t="shared" si="0"/>
        <v>2772.2180672613258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0.20573497272984961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1.0760664672893718</v>
      </c>
      <c r="C18" s="23"/>
      <c r="D18" s="23">
        <f t="shared" ref="D18:M18" si="1">D14*D16</f>
        <v>1.1137356977988255</v>
      </c>
      <c r="E18" s="23">
        <f t="shared" si="1"/>
        <v>43.868084531181125</v>
      </c>
      <c r="F18" s="23"/>
      <c r="G18" s="23">
        <f t="shared" si="1"/>
        <v>13708.22035479425</v>
      </c>
      <c r="H18" s="23">
        <f t="shared" si="1"/>
        <v>2480.3903795564661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2.0656818405030448E-5</v>
      </c>
      <c r="C50" s="316">
        <f t="shared" ref="C50:P50" si="2">SUM(C51:C52)</f>
        <v>0</v>
      </c>
      <c r="D50" s="316">
        <f t="shared" si="2"/>
        <v>0</v>
      </c>
      <c r="E50" s="316">
        <f t="shared" si="2"/>
        <v>0</v>
      </c>
      <c r="F50" s="316">
        <f t="shared" si="2"/>
        <v>0</v>
      </c>
      <c r="G50" s="316">
        <f t="shared" si="2"/>
        <v>4.0207328181417999E-3</v>
      </c>
      <c r="H50" s="316">
        <f t="shared" si="2"/>
        <v>0</v>
      </c>
      <c r="I50" s="316">
        <f t="shared" si="2"/>
        <v>0</v>
      </c>
      <c r="J50" s="316">
        <f t="shared" si="2"/>
        <v>0</v>
      </c>
      <c r="K50" s="316">
        <f t="shared" si="2"/>
        <v>0</v>
      </c>
      <c r="L50" s="316">
        <f t="shared" si="2"/>
        <v>0</v>
      </c>
      <c r="M50" s="316">
        <f t="shared" si="2"/>
        <v>1.802930380478347E-4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2.0656818405030448E-5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4.0207328181417999E-3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1.802930380478347E-4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5.7380051125084579</v>
      </c>
      <c r="C54" s="21">
        <f t="shared" ref="C54:P54" si="3">(C50)*10^9/3600</f>
        <v>0</v>
      </c>
      <c r="D54" s="21">
        <f t="shared" si="3"/>
        <v>0</v>
      </c>
      <c r="E54" s="21">
        <f t="shared" si="3"/>
        <v>0</v>
      </c>
      <c r="F54" s="21">
        <f t="shared" si="3"/>
        <v>0</v>
      </c>
      <c r="G54" s="21">
        <f t="shared" si="3"/>
        <v>1116.870227261611</v>
      </c>
      <c r="H54" s="21">
        <f t="shared" si="3"/>
        <v>0</v>
      </c>
      <c r="I54" s="21">
        <f t="shared" si="3"/>
        <v>0</v>
      </c>
      <c r="J54" s="21">
        <f t="shared" si="3"/>
        <v>0</v>
      </c>
      <c r="K54" s="21">
        <f t="shared" si="3"/>
        <v>0</v>
      </c>
      <c r="L54" s="21">
        <f t="shared" si="3"/>
        <v>0</v>
      </c>
      <c r="M54" s="21">
        <f t="shared" si="3"/>
        <v>50.081399457731862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0.20573497272984961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1.1805083253456652</v>
      </c>
      <c r="C58" s="23">
        <f t="shared" ref="C58:P58" ca="1" si="4">C54*C56</f>
        <v>0</v>
      </c>
      <c r="D58" s="23">
        <f t="shared" si="4"/>
        <v>0</v>
      </c>
      <c r="E58" s="23">
        <f t="shared" si="4"/>
        <v>0</v>
      </c>
      <c r="F58" s="23">
        <f t="shared" si="4"/>
        <v>0</v>
      </c>
      <c r="G58" s="23">
        <f t="shared" si="4"/>
        <v>298.20435067885018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4928.2134111141913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19174.5</v>
      </c>
      <c r="C8" s="546">
        <f>B48</f>
        <v>22558.23529411765</v>
      </c>
      <c r="D8" s="963"/>
      <c r="E8" s="963">
        <f>E48</f>
        <v>0</v>
      </c>
      <c r="F8" s="964"/>
      <c r="G8" s="547"/>
      <c r="H8" s="963">
        <f>I48</f>
        <v>0</v>
      </c>
      <c r="I8" s="963">
        <f>G48+F48</f>
        <v>0</v>
      </c>
      <c r="J8" s="963">
        <f>H48+D48+C48</f>
        <v>0</v>
      </c>
      <c r="K8" s="963"/>
      <c r="L8" s="963"/>
      <c r="M8" s="963"/>
      <c r="N8" s="548"/>
      <c r="O8" s="549">
        <f>C8*$C$12+D8*$D$12+E8*$E$12+F8*$F$12+G8*$G$12+H8*$H$12+I8*$I$12+J8*$J$12</f>
        <v>4556.7635294117654</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24102.713411114193</v>
      </c>
      <c r="C10" s="559">
        <f t="shared" ref="C10:L10" si="0">SUM(C8:C9)</f>
        <v>22558.23529411765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4556.7635294117654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27392.142857142859</v>
      </c>
      <c r="C17" s="571">
        <f>B49</f>
        <v>32226.050420168071</v>
      </c>
      <c r="D17" s="572"/>
      <c r="E17" s="572">
        <f>E49</f>
        <v>0</v>
      </c>
      <c r="F17" s="969"/>
      <c r="G17" s="573"/>
      <c r="H17" s="571">
        <f>I49</f>
        <v>0</v>
      </c>
      <c r="I17" s="572">
        <f>G49+F49</f>
        <v>0</v>
      </c>
      <c r="J17" s="572">
        <f>H49+D49+C49</f>
        <v>0</v>
      </c>
      <c r="K17" s="572"/>
      <c r="L17" s="572"/>
      <c r="M17" s="572"/>
      <c r="N17" s="970"/>
      <c r="O17" s="574">
        <f>C17*$C$22+E17*$E$22+H17*$H$22+I17*$I$22+J17*$J$22+D17*$D$22+F17*$F$22+G17*$G$22+K17*$K$22+L17*$L$22</f>
        <v>6509.6621848739505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27392.142857142859</v>
      </c>
      <c r="C20" s="558">
        <f>SUM(C17:C19)</f>
        <v>32226.050420168071</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6509.6621848739505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35006</v>
      </c>
      <c r="C28" s="741">
        <v>8480</v>
      </c>
      <c r="D28" s="630"/>
      <c r="E28" s="629"/>
      <c r="F28" s="629"/>
      <c r="G28" s="629" t="s">
        <v>908</v>
      </c>
      <c r="H28" s="629" t="s">
        <v>909</v>
      </c>
      <c r="I28" s="629"/>
      <c r="J28" s="740"/>
      <c r="K28" s="740"/>
      <c r="L28" s="629" t="s">
        <v>910</v>
      </c>
      <c r="M28" s="629">
        <v>4261</v>
      </c>
      <c r="N28" s="629">
        <v>19174.5</v>
      </c>
      <c r="O28" s="629">
        <v>27392.142857142859</v>
      </c>
      <c r="P28" s="629">
        <v>54784.285714285717</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4261</v>
      </c>
      <c r="N29" s="587">
        <f>SUM(N28:N28)</f>
        <v>19174.5</v>
      </c>
      <c r="O29" s="587">
        <f>SUM(O28:O28)</f>
        <v>27392.142857142859</v>
      </c>
      <c r="P29" s="587">
        <f>SUM(P28:P28)</f>
        <v>54784.285714285717</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4261</v>
      </c>
      <c r="N32" s="592">
        <f>SUMIF($AA$28:$AA$28,"landbouw",N28:N28)</f>
        <v>19174.5</v>
      </c>
      <c r="O32" s="592">
        <f>SUMIF($AA$28:$AA$28,"landbouw",O28:O28)</f>
        <v>27392.142857142859</v>
      </c>
      <c r="P32" s="592">
        <f>SUMIF($AA$28:$AA$28,"landbouw",P28:P28)</f>
        <v>54784.285714285717</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22558.23529411765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32226.050420168071</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11830.708080792019</v>
      </c>
      <c r="D10" s="640">
        <f ca="1">tertiair!C16</f>
        <v>0</v>
      </c>
      <c r="E10" s="640">
        <f ca="1">tertiair!D16</f>
        <v>14321.424508157528</v>
      </c>
      <c r="F10" s="640">
        <f>tertiair!E16</f>
        <v>59.611941955799693</v>
      </c>
      <c r="G10" s="640">
        <f ca="1">tertiair!F16</f>
        <v>1425.487155332419</v>
      </c>
      <c r="H10" s="640">
        <f>tertiair!G16</f>
        <v>0</v>
      </c>
      <c r="I10" s="640">
        <f>tertiair!H16</f>
        <v>0</v>
      </c>
      <c r="J10" s="640">
        <f>tertiair!I16</f>
        <v>0</v>
      </c>
      <c r="K10" s="640">
        <f>tertiair!J16</f>
        <v>13.229091674259738</v>
      </c>
      <c r="L10" s="640">
        <f>tertiair!K16</f>
        <v>0</v>
      </c>
      <c r="M10" s="640">
        <f ca="1">tertiair!L16</f>
        <v>0</v>
      </c>
      <c r="N10" s="640">
        <f>tertiair!M16</f>
        <v>0</v>
      </c>
      <c r="O10" s="640">
        <f ca="1">tertiair!N16</f>
        <v>1272.6217213642858</v>
      </c>
      <c r="P10" s="640">
        <f>tertiair!O16</f>
        <v>3.1266666666666669</v>
      </c>
      <c r="Q10" s="641">
        <f>tertiair!P16</f>
        <v>19.066666666666666</v>
      </c>
      <c r="R10" s="643">
        <f ca="1">SUM(C10:Q10)</f>
        <v>28945.275832609645</v>
      </c>
      <c r="S10" s="67"/>
    </row>
    <row r="11" spans="1:19" s="444" customFormat="1">
      <c r="A11" s="754" t="s">
        <v>214</v>
      </c>
      <c r="B11" s="759"/>
      <c r="C11" s="640">
        <f>huishoudens!B8</f>
        <v>24917.525000544487</v>
      </c>
      <c r="D11" s="640">
        <f>huishoudens!C8</f>
        <v>0</v>
      </c>
      <c r="E11" s="640">
        <f>huishoudens!D8</f>
        <v>58896.730351408311</v>
      </c>
      <c r="F11" s="640">
        <f>huishoudens!E8</f>
        <v>1299.1790591539257</v>
      </c>
      <c r="G11" s="640">
        <f>huishoudens!F8</f>
        <v>39813.956463237038</v>
      </c>
      <c r="H11" s="640">
        <f>huishoudens!G8</f>
        <v>0</v>
      </c>
      <c r="I11" s="640">
        <f>huishoudens!H8</f>
        <v>0</v>
      </c>
      <c r="J11" s="640">
        <f>huishoudens!I8</f>
        <v>0</v>
      </c>
      <c r="K11" s="640">
        <f>huishoudens!J8</f>
        <v>753.99705888335131</v>
      </c>
      <c r="L11" s="640">
        <f>huishoudens!K8</f>
        <v>0</v>
      </c>
      <c r="M11" s="640">
        <f>huishoudens!L8</f>
        <v>0</v>
      </c>
      <c r="N11" s="640">
        <f>huishoudens!M8</f>
        <v>0</v>
      </c>
      <c r="O11" s="640">
        <f>huishoudens!N8</f>
        <v>8952.4810210943051</v>
      </c>
      <c r="P11" s="640">
        <f>huishoudens!O8</f>
        <v>201.67000000000004</v>
      </c>
      <c r="Q11" s="641">
        <f>huishoudens!P8</f>
        <v>152.53333333333333</v>
      </c>
      <c r="R11" s="643">
        <f>SUM(C11:Q11)</f>
        <v>134988.07228765477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9990.6520123049704</v>
      </c>
      <c r="D13" s="640">
        <f>industrie!C18</f>
        <v>0</v>
      </c>
      <c r="E13" s="640">
        <f>industrie!D18</f>
        <v>84504.882528644899</v>
      </c>
      <c r="F13" s="640">
        <f>industrie!E18</f>
        <v>1019.5421715152227</v>
      </c>
      <c r="G13" s="640">
        <f>industrie!F18</f>
        <v>4573.8722950415176</v>
      </c>
      <c r="H13" s="640">
        <f>industrie!G18</f>
        <v>0</v>
      </c>
      <c r="I13" s="640">
        <f>industrie!H18</f>
        <v>0</v>
      </c>
      <c r="J13" s="640">
        <f>industrie!I18</f>
        <v>0</v>
      </c>
      <c r="K13" s="640">
        <f>industrie!J18</f>
        <v>17.55713759856885</v>
      </c>
      <c r="L13" s="640">
        <f>industrie!K18</f>
        <v>0</v>
      </c>
      <c r="M13" s="640">
        <f>industrie!L18</f>
        <v>0</v>
      </c>
      <c r="N13" s="640">
        <f>industrie!M18</f>
        <v>0</v>
      </c>
      <c r="O13" s="640">
        <f>industrie!N18</f>
        <v>806.09924404369235</v>
      </c>
      <c r="P13" s="640">
        <f>industrie!O18</f>
        <v>0</v>
      </c>
      <c r="Q13" s="641">
        <f>industrie!P18</f>
        <v>0</v>
      </c>
      <c r="R13" s="643">
        <f>SUM(C13:Q13)</f>
        <v>100912.60538914887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46738.885093641475</v>
      </c>
      <c r="D16" s="675">
        <f t="shared" ref="D16:R16" ca="1" si="0">SUM(D9:D15)</f>
        <v>0</v>
      </c>
      <c r="E16" s="675">
        <f t="shared" ca="1" si="0"/>
        <v>157723.03738821074</v>
      </c>
      <c r="F16" s="675">
        <f t="shared" si="0"/>
        <v>2378.333172624948</v>
      </c>
      <c r="G16" s="675">
        <f t="shared" ca="1" si="0"/>
        <v>45813.315913610975</v>
      </c>
      <c r="H16" s="675">
        <f t="shared" si="0"/>
        <v>0</v>
      </c>
      <c r="I16" s="675">
        <f t="shared" si="0"/>
        <v>0</v>
      </c>
      <c r="J16" s="675">
        <f t="shared" si="0"/>
        <v>0</v>
      </c>
      <c r="K16" s="675">
        <f t="shared" si="0"/>
        <v>784.78328815617988</v>
      </c>
      <c r="L16" s="675">
        <f t="shared" si="0"/>
        <v>0</v>
      </c>
      <c r="M16" s="675">
        <f t="shared" ca="1" si="0"/>
        <v>0</v>
      </c>
      <c r="N16" s="675">
        <f t="shared" si="0"/>
        <v>0</v>
      </c>
      <c r="O16" s="675">
        <f t="shared" ca="1" si="0"/>
        <v>11031.201986502285</v>
      </c>
      <c r="P16" s="675">
        <f t="shared" si="0"/>
        <v>204.79666666666671</v>
      </c>
      <c r="Q16" s="675">
        <f t="shared" si="0"/>
        <v>171.6</v>
      </c>
      <c r="R16" s="675">
        <f t="shared" ca="1" si="0"/>
        <v>264845.95350941329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5.7380051125084579</v>
      </c>
      <c r="D19" s="640">
        <f>transport!C54</f>
        <v>0</v>
      </c>
      <c r="E19" s="640">
        <f>transport!D54</f>
        <v>0</v>
      </c>
      <c r="F19" s="640">
        <f>transport!E54</f>
        <v>0</v>
      </c>
      <c r="G19" s="640">
        <f>transport!F54</f>
        <v>0</v>
      </c>
      <c r="H19" s="640">
        <f>transport!G54</f>
        <v>1116.870227261611</v>
      </c>
      <c r="I19" s="640">
        <f>transport!H54</f>
        <v>0</v>
      </c>
      <c r="J19" s="640">
        <f>transport!I54</f>
        <v>0</v>
      </c>
      <c r="K19" s="640">
        <f>transport!J54</f>
        <v>0</v>
      </c>
      <c r="L19" s="640">
        <f>transport!K54</f>
        <v>0</v>
      </c>
      <c r="M19" s="640">
        <f>transport!L54</f>
        <v>0</v>
      </c>
      <c r="N19" s="640">
        <f>transport!M54</f>
        <v>50.081399457731862</v>
      </c>
      <c r="O19" s="640">
        <f>transport!N54</f>
        <v>0</v>
      </c>
      <c r="P19" s="640">
        <f>transport!O54</f>
        <v>0</v>
      </c>
      <c r="Q19" s="641">
        <f>transport!P54</f>
        <v>0</v>
      </c>
      <c r="R19" s="643">
        <f>SUM(C19:Q19)</f>
        <v>1172.6896318318513</v>
      </c>
      <c r="S19" s="67"/>
    </row>
    <row r="20" spans="1:19" s="444" customFormat="1">
      <c r="A20" s="754" t="s">
        <v>296</v>
      </c>
      <c r="B20" s="759"/>
      <c r="C20" s="640">
        <f>transport!B14</f>
        <v>5.2303526863288994</v>
      </c>
      <c r="D20" s="640">
        <f>transport!C14</f>
        <v>0</v>
      </c>
      <c r="E20" s="640">
        <f>transport!D14</f>
        <v>5.5135430584100273</v>
      </c>
      <c r="F20" s="640">
        <f>transport!E14</f>
        <v>193.25147370564372</v>
      </c>
      <c r="G20" s="640">
        <f>transport!F14</f>
        <v>0</v>
      </c>
      <c r="H20" s="640">
        <f>transport!G14</f>
        <v>51341.649268892317</v>
      </c>
      <c r="I20" s="640">
        <f>transport!H14</f>
        <v>9961.4071468131169</v>
      </c>
      <c r="J20" s="640">
        <f>transport!I14</f>
        <v>0</v>
      </c>
      <c r="K20" s="640">
        <f>transport!J14</f>
        <v>0</v>
      </c>
      <c r="L20" s="640">
        <f>transport!K14</f>
        <v>0</v>
      </c>
      <c r="M20" s="640">
        <f>transport!L14</f>
        <v>0</v>
      </c>
      <c r="N20" s="640">
        <f>transport!M14</f>
        <v>2772.2180672613258</v>
      </c>
      <c r="O20" s="640">
        <f>transport!N14</f>
        <v>0</v>
      </c>
      <c r="P20" s="640">
        <f>transport!O14</f>
        <v>0</v>
      </c>
      <c r="Q20" s="641">
        <f>transport!P14</f>
        <v>0</v>
      </c>
      <c r="R20" s="643">
        <f>SUM(C20:Q20)</f>
        <v>64279.269852417143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10.968357798837356</v>
      </c>
      <c r="D22" s="757">
        <f t="shared" ref="D22:R22" si="1">SUM(D18:D21)</f>
        <v>0</v>
      </c>
      <c r="E22" s="757">
        <f t="shared" si="1"/>
        <v>5.5135430584100273</v>
      </c>
      <c r="F22" s="757">
        <f t="shared" si="1"/>
        <v>193.25147370564372</v>
      </c>
      <c r="G22" s="757">
        <f t="shared" si="1"/>
        <v>0</v>
      </c>
      <c r="H22" s="757">
        <f t="shared" si="1"/>
        <v>52458.519496153931</v>
      </c>
      <c r="I22" s="757">
        <f t="shared" si="1"/>
        <v>9961.4071468131169</v>
      </c>
      <c r="J22" s="757">
        <f t="shared" si="1"/>
        <v>0</v>
      </c>
      <c r="K22" s="757">
        <f t="shared" si="1"/>
        <v>0</v>
      </c>
      <c r="L22" s="757">
        <f t="shared" si="1"/>
        <v>0</v>
      </c>
      <c r="M22" s="757">
        <f t="shared" si="1"/>
        <v>0</v>
      </c>
      <c r="N22" s="757">
        <f t="shared" si="1"/>
        <v>2822.2994667190578</v>
      </c>
      <c r="O22" s="757">
        <f t="shared" si="1"/>
        <v>0</v>
      </c>
      <c r="P22" s="757">
        <f t="shared" si="1"/>
        <v>0</v>
      </c>
      <c r="Q22" s="757">
        <f t="shared" si="1"/>
        <v>0</v>
      </c>
      <c r="R22" s="757">
        <f t="shared" si="1"/>
        <v>65451.959484248997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2923.6935357861089</v>
      </c>
      <c r="D24" s="640">
        <f>+landbouw!C8</f>
        <v>27392.142857142859</v>
      </c>
      <c r="E24" s="640">
        <f>+landbouw!D8</f>
        <v>0</v>
      </c>
      <c r="F24" s="640">
        <f>+landbouw!E8</f>
        <v>60.709648856910569</v>
      </c>
      <c r="G24" s="640">
        <f>+landbouw!F8</f>
        <v>10332.407559587522</v>
      </c>
      <c r="H24" s="640">
        <f>+landbouw!G8</f>
        <v>0</v>
      </c>
      <c r="I24" s="640">
        <f>+landbouw!H8</f>
        <v>0</v>
      </c>
      <c r="J24" s="640">
        <f>+landbouw!I8</f>
        <v>0</v>
      </c>
      <c r="K24" s="640">
        <f>+landbouw!J8</f>
        <v>335.32915668912676</v>
      </c>
      <c r="L24" s="640">
        <f>+landbouw!K8</f>
        <v>0</v>
      </c>
      <c r="M24" s="640">
        <f>+landbouw!L8</f>
        <v>0</v>
      </c>
      <c r="N24" s="640">
        <f>+landbouw!M8</f>
        <v>0</v>
      </c>
      <c r="O24" s="640">
        <f>+landbouw!N8</f>
        <v>0</v>
      </c>
      <c r="P24" s="640">
        <f>+landbouw!O8</f>
        <v>0</v>
      </c>
      <c r="Q24" s="641">
        <f>+landbouw!P8</f>
        <v>0</v>
      </c>
      <c r="R24" s="643">
        <f>SUM(C24:Q24)</f>
        <v>41044.282758062531</v>
      </c>
      <c r="S24" s="67"/>
    </row>
    <row r="25" spans="1:19" s="444" customFormat="1" ht="15" thickBot="1">
      <c r="A25" s="776" t="s">
        <v>806</v>
      </c>
      <c r="B25" s="939"/>
      <c r="C25" s="940">
        <f>IF(Onbekend_ele_kWh="---",0,Onbekend_ele_kWh)/1000+IF(REST_rest_ele_kWh="---",0,REST_rest_ele_kWh)/1000</f>
        <v>764.36712970564508</v>
      </c>
      <c r="D25" s="940"/>
      <c r="E25" s="940">
        <f>IF(onbekend_gas_kWh="---",0,onbekend_gas_kWh)/1000+IF(REST_rest_gas_kWh="---",0,REST_rest_gas_kWh)/1000</f>
        <v>2443.9768574792301</v>
      </c>
      <c r="F25" s="940"/>
      <c r="G25" s="940"/>
      <c r="H25" s="940"/>
      <c r="I25" s="940"/>
      <c r="J25" s="940"/>
      <c r="K25" s="940"/>
      <c r="L25" s="940"/>
      <c r="M25" s="940"/>
      <c r="N25" s="940"/>
      <c r="O25" s="940"/>
      <c r="P25" s="940"/>
      <c r="Q25" s="941"/>
      <c r="R25" s="643">
        <f>SUM(C25:Q25)</f>
        <v>3208.343987184875</v>
      </c>
      <c r="S25" s="67"/>
    </row>
    <row r="26" spans="1:19" s="444" customFormat="1" ht="15.75" thickBot="1">
      <c r="A26" s="648" t="s">
        <v>807</v>
      </c>
      <c r="B26" s="762"/>
      <c r="C26" s="757">
        <f>SUM(C24:C25)</f>
        <v>3688.0606654917538</v>
      </c>
      <c r="D26" s="757">
        <f t="shared" ref="D26:R26" si="2">SUM(D24:D25)</f>
        <v>27392.142857142859</v>
      </c>
      <c r="E26" s="757">
        <f t="shared" si="2"/>
        <v>2443.9768574792301</v>
      </c>
      <c r="F26" s="757">
        <f t="shared" si="2"/>
        <v>60.709648856910569</v>
      </c>
      <c r="G26" s="757">
        <f t="shared" si="2"/>
        <v>10332.407559587522</v>
      </c>
      <c r="H26" s="757">
        <f t="shared" si="2"/>
        <v>0</v>
      </c>
      <c r="I26" s="757">
        <f t="shared" si="2"/>
        <v>0</v>
      </c>
      <c r="J26" s="757">
        <f t="shared" si="2"/>
        <v>0</v>
      </c>
      <c r="K26" s="757">
        <f t="shared" si="2"/>
        <v>335.32915668912676</v>
      </c>
      <c r="L26" s="757">
        <f t="shared" si="2"/>
        <v>0</v>
      </c>
      <c r="M26" s="757">
        <f t="shared" si="2"/>
        <v>0</v>
      </c>
      <c r="N26" s="757">
        <f t="shared" si="2"/>
        <v>0</v>
      </c>
      <c r="O26" s="757">
        <f t="shared" si="2"/>
        <v>0</v>
      </c>
      <c r="P26" s="757">
        <f t="shared" si="2"/>
        <v>0</v>
      </c>
      <c r="Q26" s="757">
        <f t="shared" si="2"/>
        <v>0</v>
      </c>
      <c r="R26" s="757">
        <f t="shared" si="2"/>
        <v>44252.626745247406</v>
      </c>
      <c r="S26" s="67"/>
    </row>
    <row r="27" spans="1:19" s="444" customFormat="1" ht="17.25" thickTop="1" thickBot="1">
      <c r="A27" s="649" t="s">
        <v>109</v>
      </c>
      <c r="B27" s="749"/>
      <c r="C27" s="650">
        <f ca="1">C22+C16+C26</f>
        <v>50437.914116932065</v>
      </c>
      <c r="D27" s="650">
        <f t="shared" ref="D27:R27" ca="1" si="3">D22+D16+D26</f>
        <v>27392.142857142859</v>
      </c>
      <c r="E27" s="650">
        <f t="shared" ca="1" si="3"/>
        <v>160172.52778874838</v>
      </c>
      <c r="F27" s="650">
        <f t="shared" si="3"/>
        <v>2632.294295187502</v>
      </c>
      <c r="G27" s="650">
        <f t="shared" ca="1" si="3"/>
        <v>56145.723473198494</v>
      </c>
      <c r="H27" s="650">
        <f t="shared" si="3"/>
        <v>52458.519496153931</v>
      </c>
      <c r="I27" s="650">
        <f t="shared" si="3"/>
        <v>9961.4071468131169</v>
      </c>
      <c r="J27" s="650">
        <f t="shared" si="3"/>
        <v>0</v>
      </c>
      <c r="K27" s="650">
        <f t="shared" si="3"/>
        <v>1120.1124448453065</v>
      </c>
      <c r="L27" s="650">
        <f t="shared" si="3"/>
        <v>0</v>
      </c>
      <c r="M27" s="650">
        <f t="shared" ca="1" si="3"/>
        <v>0</v>
      </c>
      <c r="N27" s="650">
        <f t="shared" si="3"/>
        <v>2822.2994667190578</v>
      </c>
      <c r="O27" s="650">
        <f t="shared" ca="1" si="3"/>
        <v>11031.201986502285</v>
      </c>
      <c r="P27" s="650">
        <f t="shared" si="3"/>
        <v>204.79666666666671</v>
      </c>
      <c r="Q27" s="650">
        <f t="shared" si="3"/>
        <v>171.6</v>
      </c>
      <c r="R27" s="650">
        <f t="shared" ca="1" si="3"/>
        <v>374550.53973890969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2433.9904043765573</v>
      </c>
      <c r="D40" s="640">
        <f ca="1">tertiair!C20</f>
        <v>0</v>
      </c>
      <c r="E40" s="640">
        <f ca="1">tertiair!D20</f>
        <v>2892.9277506478211</v>
      </c>
      <c r="F40" s="640">
        <f>tertiair!E20</f>
        <v>13.53191082396653</v>
      </c>
      <c r="G40" s="640">
        <f ca="1">tertiair!F20</f>
        <v>380.60507047375592</v>
      </c>
      <c r="H40" s="640">
        <f>tertiair!G20</f>
        <v>0</v>
      </c>
      <c r="I40" s="640">
        <f>tertiair!H20</f>
        <v>0</v>
      </c>
      <c r="J40" s="640">
        <f>tertiair!I20</f>
        <v>0</v>
      </c>
      <c r="K40" s="640">
        <f>tertiair!J20</f>
        <v>4.6830984526879469</v>
      </c>
      <c r="L40" s="640">
        <f>tertiair!K20</f>
        <v>0</v>
      </c>
      <c r="M40" s="640">
        <f ca="1">tertiair!L20</f>
        <v>0</v>
      </c>
      <c r="N40" s="640">
        <f>tertiair!M20</f>
        <v>0</v>
      </c>
      <c r="O40" s="640">
        <f ca="1">tertiair!N20</f>
        <v>0</v>
      </c>
      <c r="P40" s="640">
        <f>tertiair!O20</f>
        <v>0</v>
      </c>
      <c r="Q40" s="717">
        <f>tertiair!P20</f>
        <v>0</v>
      </c>
      <c r="R40" s="795">
        <f t="shared" ca="1" si="4"/>
        <v>5725.7382347747889</v>
      </c>
    </row>
    <row r="41" spans="1:18">
      <c r="A41" s="767" t="s">
        <v>214</v>
      </c>
      <c r="B41" s="774"/>
      <c r="C41" s="640">
        <f ca="1">huishoudens!B12</f>
        <v>5126.4063264823662</v>
      </c>
      <c r="D41" s="640">
        <f ca="1">huishoudens!C12</f>
        <v>0</v>
      </c>
      <c r="E41" s="640">
        <f>huishoudens!D12</f>
        <v>11897.139530984479</v>
      </c>
      <c r="F41" s="640">
        <f>huishoudens!E12</f>
        <v>294.91364642794116</v>
      </c>
      <c r="G41" s="640">
        <f>huishoudens!F12</f>
        <v>10630.32637568429</v>
      </c>
      <c r="H41" s="640">
        <f>huishoudens!G12</f>
        <v>0</v>
      </c>
      <c r="I41" s="640">
        <f>huishoudens!H12</f>
        <v>0</v>
      </c>
      <c r="J41" s="640">
        <f>huishoudens!I12</f>
        <v>0</v>
      </c>
      <c r="K41" s="640">
        <f>huishoudens!J12</f>
        <v>266.91495884470635</v>
      </c>
      <c r="L41" s="640">
        <f>huishoudens!K12</f>
        <v>0</v>
      </c>
      <c r="M41" s="640">
        <f>huishoudens!L12</f>
        <v>0</v>
      </c>
      <c r="N41" s="640">
        <f>huishoudens!M12</f>
        <v>0</v>
      </c>
      <c r="O41" s="640">
        <f>huishoudens!N12</f>
        <v>0</v>
      </c>
      <c r="P41" s="640">
        <f>huishoudens!O12</f>
        <v>0</v>
      </c>
      <c r="Q41" s="717">
        <f>huishoudens!P12</f>
        <v>0</v>
      </c>
      <c r="R41" s="795">
        <f t="shared" ca="1" si="4"/>
        <v>28215.700838423782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2055.42651930498</v>
      </c>
      <c r="D43" s="640">
        <f ca="1">industrie!C22</f>
        <v>0</v>
      </c>
      <c r="E43" s="640">
        <f>industrie!D22</f>
        <v>17069.98627078627</v>
      </c>
      <c r="F43" s="640">
        <f>industrie!E22</f>
        <v>231.43607293395556</v>
      </c>
      <c r="G43" s="640">
        <f>industrie!F22</f>
        <v>1221.2239027760852</v>
      </c>
      <c r="H43" s="640">
        <f>industrie!G22</f>
        <v>0</v>
      </c>
      <c r="I43" s="640">
        <f>industrie!H22</f>
        <v>0</v>
      </c>
      <c r="J43" s="640">
        <f>industrie!I22</f>
        <v>0</v>
      </c>
      <c r="K43" s="640">
        <f>industrie!J22</f>
        <v>6.2152267098933729</v>
      </c>
      <c r="L43" s="640">
        <f>industrie!K22</f>
        <v>0</v>
      </c>
      <c r="M43" s="640">
        <f>industrie!L22</f>
        <v>0</v>
      </c>
      <c r="N43" s="640">
        <f>industrie!M22</f>
        <v>0</v>
      </c>
      <c r="O43" s="640">
        <f>industrie!N22</f>
        <v>0</v>
      </c>
      <c r="P43" s="640">
        <f>industrie!O22</f>
        <v>0</v>
      </c>
      <c r="Q43" s="717">
        <f>industrie!P22</f>
        <v>0</v>
      </c>
      <c r="R43" s="794">
        <f t="shared" ca="1" si="4"/>
        <v>20584.287992511185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9615.8232501639031</v>
      </c>
      <c r="D46" s="675">
        <f t="shared" ref="D46:Q46" ca="1" si="5">SUM(D39:D45)</f>
        <v>0</v>
      </c>
      <c r="E46" s="675">
        <f t="shared" ca="1" si="5"/>
        <v>31860.053552418569</v>
      </c>
      <c r="F46" s="675">
        <f t="shared" si="5"/>
        <v>539.88163018586329</v>
      </c>
      <c r="G46" s="675">
        <f t="shared" ca="1" si="5"/>
        <v>12232.155348934131</v>
      </c>
      <c r="H46" s="675">
        <f t="shared" si="5"/>
        <v>0</v>
      </c>
      <c r="I46" s="675">
        <f t="shared" si="5"/>
        <v>0</v>
      </c>
      <c r="J46" s="675">
        <f t="shared" si="5"/>
        <v>0</v>
      </c>
      <c r="K46" s="675">
        <f t="shared" si="5"/>
        <v>277.81328400728768</v>
      </c>
      <c r="L46" s="675">
        <f t="shared" si="5"/>
        <v>0</v>
      </c>
      <c r="M46" s="675">
        <f t="shared" ca="1" si="5"/>
        <v>0</v>
      </c>
      <c r="N46" s="675">
        <f t="shared" si="5"/>
        <v>0</v>
      </c>
      <c r="O46" s="675">
        <f t="shared" ca="1" si="5"/>
        <v>0</v>
      </c>
      <c r="P46" s="675">
        <f t="shared" si="5"/>
        <v>0</v>
      </c>
      <c r="Q46" s="675">
        <f t="shared" si="5"/>
        <v>0</v>
      </c>
      <c r="R46" s="675">
        <f ca="1">SUM(R39:R45)</f>
        <v>54525.727065709754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1.1805083253456652</v>
      </c>
      <c r="D49" s="640">
        <f ca="1">transport!C58</f>
        <v>0</v>
      </c>
      <c r="E49" s="640">
        <f>transport!D58</f>
        <v>0</v>
      </c>
      <c r="F49" s="640">
        <f>transport!E58</f>
        <v>0</v>
      </c>
      <c r="G49" s="640">
        <f>transport!F58</f>
        <v>0</v>
      </c>
      <c r="H49" s="640">
        <f>transport!G58</f>
        <v>298.20435067885018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299.38485900419585</v>
      </c>
    </row>
    <row r="50" spans="1:18">
      <c r="A50" s="770" t="s">
        <v>296</v>
      </c>
      <c r="B50" s="780"/>
      <c r="C50" s="646">
        <f ca="1">transport!B18</f>
        <v>1.0760664672893718</v>
      </c>
      <c r="D50" s="646">
        <f>transport!C18</f>
        <v>0</v>
      </c>
      <c r="E50" s="646">
        <f>transport!D18</f>
        <v>1.1137356977988255</v>
      </c>
      <c r="F50" s="646">
        <f>transport!E18</f>
        <v>43.868084531181125</v>
      </c>
      <c r="G50" s="646">
        <f>transport!F18</f>
        <v>0</v>
      </c>
      <c r="H50" s="646">
        <f>transport!G18</f>
        <v>13708.22035479425</v>
      </c>
      <c r="I50" s="646">
        <f>transport!H18</f>
        <v>2480.3903795564661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16234.668621046985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2.2565747926350372</v>
      </c>
      <c r="D52" s="675">
        <f t="shared" ref="D52:Q52" ca="1" si="6">SUM(D48:D51)</f>
        <v>0</v>
      </c>
      <c r="E52" s="675">
        <f t="shared" si="6"/>
        <v>1.1137356977988255</v>
      </c>
      <c r="F52" s="675">
        <f t="shared" si="6"/>
        <v>43.868084531181125</v>
      </c>
      <c r="G52" s="675">
        <f t="shared" si="6"/>
        <v>0</v>
      </c>
      <c r="H52" s="675">
        <f t="shared" si="6"/>
        <v>14006.4247054731</v>
      </c>
      <c r="I52" s="675">
        <f t="shared" si="6"/>
        <v>2480.3903795564661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16534.053480051181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601.50600985539268</v>
      </c>
      <c r="D54" s="646">
        <f ca="1">+landbouw!C12</f>
        <v>6509.6621848739505</v>
      </c>
      <c r="E54" s="646">
        <f>+landbouw!D12</f>
        <v>0</v>
      </c>
      <c r="F54" s="646">
        <f>+landbouw!E12</f>
        <v>13.7810902905187</v>
      </c>
      <c r="G54" s="646">
        <f>+landbouw!F12</f>
        <v>2758.7528184098687</v>
      </c>
      <c r="H54" s="646">
        <f>+landbouw!G12</f>
        <v>0</v>
      </c>
      <c r="I54" s="646">
        <f>+landbouw!H12</f>
        <v>0</v>
      </c>
      <c r="J54" s="646">
        <f>+landbouw!I12</f>
        <v>0</v>
      </c>
      <c r="K54" s="646">
        <f>+landbouw!J12</f>
        <v>118.70652146795086</v>
      </c>
      <c r="L54" s="646">
        <f>+landbouw!K12</f>
        <v>0</v>
      </c>
      <c r="M54" s="646">
        <f>+landbouw!L12</f>
        <v>0</v>
      </c>
      <c r="N54" s="646">
        <f>+landbouw!M12</f>
        <v>0</v>
      </c>
      <c r="O54" s="646">
        <f>+landbouw!N12</f>
        <v>0</v>
      </c>
      <c r="P54" s="646">
        <f>+landbouw!O12</f>
        <v>0</v>
      </c>
      <c r="Q54" s="647">
        <f>+landbouw!P12</f>
        <v>0</v>
      </c>
      <c r="R54" s="674">
        <f ca="1">SUM(C54:Q54)</f>
        <v>10002.408624897682</v>
      </c>
    </row>
    <row r="55" spans="1:18" ht="15" thickBot="1">
      <c r="A55" s="770" t="s">
        <v>806</v>
      </c>
      <c r="B55" s="780"/>
      <c r="C55" s="646">
        <f ca="1">C25*'EF ele_warmte'!B12</f>
        <v>157.25705058558432</v>
      </c>
      <c r="D55" s="646"/>
      <c r="E55" s="646">
        <f>E25*EF_CO2_aardgas</f>
        <v>493.68332521080453</v>
      </c>
      <c r="F55" s="646"/>
      <c r="G55" s="646"/>
      <c r="H55" s="646"/>
      <c r="I55" s="646"/>
      <c r="J55" s="646"/>
      <c r="K55" s="646"/>
      <c r="L55" s="646"/>
      <c r="M55" s="646"/>
      <c r="N55" s="646"/>
      <c r="O55" s="646"/>
      <c r="P55" s="646"/>
      <c r="Q55" s="647"/>
      <c r="R55" s="674">
        <f ca="1">SUM(C55:Q55)</f>
        <v>650.94037579638882</v>
      </c>
    </row>
    <row r="56" spans="1:18" ht="15.75" thickBot="1">
      <c r="A56" s="768" t="s">
        <v>807</v>
      </c>
      <c r="B56" s="781"/>
      <c r="C56" s="675">
        <f ca="1">SUM(C54:C55)</f>
        <v>758.76306044097703</v>
      </c>
      <c r="D56" s="675">
        <f t="shared" ref="D56:Q56" ca="1" si="7">SUM(D54:D55)</f>
        <v>6509.6621848739505</v>
      </c>
      <c r="E56" s="675">
        <f t="shared" si="7"/>
        <v>493.68332521080453</v>
      </c>
      <c r="F56" s="675">
        <f t="shared" si="7"/>
        <v>13.7810902905187</v>
      </c>
      <c r="G56" s="675">
        <f t="shared" si="7"/>
        <v>2758.7528184098687</v>
      </c>
      <c r="H56" s="675">
        <f t="shared" si="7"/>
        <v>0</v>
      </c>
      <c r="I56" s="675">
        <f t="shared" si="7"/>
        <v>0</v>
      </c>
      <c r="J56" s="675">
        <f t="shared" si="7"/>
        <v>0</v>
      </c>
      <c r="K56" s="675">
        <f t="shared" si="7"/>
        <v>118.70652146795086</v>
      </c>
      <c r="L56" s="675">
        <f t="shared" si="7"/>
        <v>0</v>
      </c>
      <c r="M56" s="675">
        <f t="shared" si="7"/>
        <v>0</v>
      </c>
      <c r="N56" s="675">
        <f t="shared" si="7"/>
        <v>0</v>
      </c>
      <c r="O56" s="675">
        <f t="shared" si="7"/>
        <v>0</v>
      </c>
      <c r="P56" s="675">
        <f t="shared" si="7"/>
        <v>0</v>
      </c>
      <c r="Q56" s="676">
        <f t="shared" si="7"/>
        <v>0</v>
      </c>
      <c r="R56" s="677">
        <f ca="1">SUM(R54:R55)</f>
        <v>10653.34900069407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10376.842885397515</v>
      </c>
      <c r="D61" s="683">
        <f t="shared" ref="D61:Q61" ca="1" si="8">D46+D52+D56</f>
        <v>6509.6621848739505</v>
      </c>
      <c r="E61" s="683">
        <f t="shared" ca="1" si="8"/>
        <v>32354.850613327173</v>
      </c>
      <c r="F61" s="683">
        <f t="shared" si="8"/>
        <v>597.53080500756312</v>
      </c>
      <c r="G61" s="683">
        <f t="shared" ca="1" si="8"/>
        <v>14990.908167344</v>
      </c>
      <c r="H61" s="683">
        <f t="shared" si="8"/>
        <v>14006.4247054731</v>
      </c>
      <c r="I61" s="683">
        <f t="shared" si="8"/>
        <v>2480.3903795564661</v>
      </c>
      <c r="J61" s="683">
        <f t="shared" si="8"/>
        <v>0</v>
      </c>
      <c r="K61" s="683">
        <f t="shared" si="8"/>
        <v>396.51980547523851</v>
      </c>
      <c r="L61" s="683">
        <f t="shared" si="8"/>
        <v>0</v>
      </c>
      <c r="M61" s="683">
        <f t="shared" ca="1" si="8"/>
        <v>0</v>
      </c>
      <c r="N61" s="683">
        <f t="shared" si="8"/>
        <v>0</v>
      </c>
      <c r="O61" s="683">
        <f t="shared" ca="1" si="8"/>
        <v>0</v>
      </c>
      <c r="P61" s="683">
        <f t="shared" si="8"/>
        <v>0</v>
      </c>
      <c r="Q61" s="683">
        <f t="shared" si="8"/>
        <v>0</v>
      </c>
      <c r="R61" s="683">
        <f ca="1">R46+R52+R56</f>
        <v>81713.129546455006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0.20573497272984961</v>
      </c>
      <c r="D63" s="726">
        <f t="shared" ca="1" si="9"/>
        <v>0.23764705882352943</v>
      </c>
      <c r="E63" s="946">
        <f t="shared" ca="1" si="9"/>
        <v>0.20199999999999999</v>
      </c>
      <c r="F63" s="726">
        <f t="shared" si="9"/>
        <v>0.22700000000000006</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4928.2134111141913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19174.5</v>
      </c>
      <c r="D76" s="956">
        <f>'lokale energieproductie'!C8</f>
        <v>22558.23529411765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4556.7635294117654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4928.2134111141913</v>
      </c>
      <c r="C78" s="698">
        <f>SUM(C72:C77)</f>
        <v>19174.5</v>
      </c>
      <c r="D78" s="699">
        <f t="shared" ref="D78:H78" si="10">SUM(D76:D77)</f>
        <v>22558.23529411765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4556.7635294117654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27392.142857142859</v>
      </c>
      <c r="D87" s="720">
        <f>'lokale energieproductie'!C17</f>
        <v>32226.050420168071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6509.6621848739505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27392.142857142859</v>
      </c>
      <c r="D90" s="698">
        <f t="shared" ref="D90:H90" si="12">SUM(D87:D89)</f>
        <v>32226.050420168071</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6509.6621848739505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24917.525000544487</v>
      </c>
      <c r="C4" s="448">
        <f>huishoudens!C8</f>
        <v>0</v>
      </c>
      <c r="D4" s="448">
        <f>huishoudens!D8</f>
        <v>58896.730351408311</v>
      </c>
      <c r="E4" s="448">
        <f>huishoudens!E8</f>
        <v>1299.1790591539257</v>
      </c>
      <c r="F4" s="448">
        <f>huishoudens!F8</f>
        <v>39813.956463237038</v>
      </c>
      <c r="G4" s="448">
        <f>huishoudens!G8</f>
        <v>0</v>
      </c>
      <c r="H4" s="448">
        <f>huishoudens!H8</f>
        <v>0</v>
      </c>
      <c r="I4" s="448">
        <f>huishoudens!I8</f>
        <v>0</v>
      </c>
      <c r="J4" s="448">
        <f>huishoudens!J8</f>
        <v>753.99705888335131</v>
      </c>
      <c r="K4" s="448">
        <f>huishoudens!K8</f>
        <v>0</v>
      </c>
      <c r="L4" s="448">
        <f>huishoudens!L8</f>
        <v>0</v>
      </c>
      <c r="M4" s="448">
        <f>huishoudens!M8</f>
        <v>0</v>
      </c>
      <c r="N4" s="448">
        <f>huishoudens!N8</f>
        <v>8952.4810210943051</v>
      </c>
      <c r="O4" s="448">
        <f>huishoudens!O8</f>
        <v>201.67000000000004</v>
      </c>
      <c r="P4" s="449">
        <f>huishoudens!P8</f>
        <v>152.53333333333333</v>
      </c>
      <c r="Q4" s="450">
        <f>SUM(B4:P4)</f>
        <v>134988.07228765477</v>
      </c>
    </row>
    <row r="5" spans="1:17">
      <c r="A5" s="447" t="s">
        <v>149</v>
      </c>
      <c r="B5" s="448">
        <f ca="1">tertiair!B16</f>
        <v>10812.829080792018</v>
      </c>
      <c r="C5" s="448">
        <f ca="1">tertiair!C16</f>
        <v>0</v>
      </c>
      <c r="D5" s="448">
        <f ca="1">tertiair!D16</f>
        <v>14321.424508157528</v>
      </c>
      <c r="E5" s="448">
        <f>tertiair!E16</f>
        <v>59.611941955799693</v>
      </c>
      <c r="F5" s="448">
        <f ca="1">tertiair!F16</f>
        <v>1425.487155332419</v>
      </c>
      <c r="G5" s="448">
        <f>tertiair!G16</f>
        <v>0</v>
      </c>
      <c r="H5" s="448">
        <f>tertiair!H16</f>
        <v>0</v>
      </c>
      <c r="I5" s="448">
        <f>tertiair!I16</f>
        <v>0</v>
      </c>
      <c r="J5" s="448">
        <f>tertiair!J16</f>
        <v>13.229091674259738</v>
      </c>
      <c r="K5" s="448">
        <f>tertiair!K16</f>
        <v>0</v>
      </c>
      <c r="L5" s="448">
        <f ca="1">tertiair!L16</f>
        <v>0</v>
      </c>
      <c r="M5" s="448">
        <f>tertiair!M16</f>
        <v>0</v>
      </c>
      <c r="N5" s="448">
        <f ca="1">tertiair!N16</f>
        <v>1272.6217213642858</v>
      </c>
      <c r="O5" s="448">
        <f>tertiair!O16</f>
        <v>3.1266666666666669</v>
      </c>
      <c r="P5" s="449">
        <f>tertiair!P16</f>
        <v>19.066666666666666</v>
      </c>
      <c r="Q5" s="447">
        <f t="shared" ref="Q5:Q14" ca="1" si="0">SUM(B5:P5)</f>
        <v>27927.396832609644</v>
      </c>
    </row>
    <row r="6" spans="1:17">
      <c r="A6" s="447" t="s">
        <v>187</v>
      </c>
      <c r="B6" s="448">
        <f>'openbare verlichting'!B8</f>
        <v>1017.879</v>
      </c>
      <c r="C6" s="448"/>
      <c r="D6" s="448"/>
      <c r="E6" s="448"/>
      <c r="F6" s="448"/>
      <c r="G6" s="448"/>
      <c r="H6" s="448"/>
      <c r="I6" s="448"/>
      <c r="J6" s="448"/>
      <c r="K6" s="448"/>
      <c r="L6" s="448"/>
      <c r="M6" s="448"/>
      <c r="N6" s="448"/>
      <c r="O6" s="448"/>
      <c r="P6" s="449"/>
      <c r="Q6" s="447">
        <f t="shared" si="0"/>
        <v>1017.879</v>
      </c>
    </row>
    <row r="7" spans="1:17">
      <c r="A7" s="447" t="s">
        <v>105</v>
      </c>
      <c r="B7" s="448">
        <f>landbouw!B8</f>
        <v>2923.6935357861089</v>
      </c>
      <c r="C7" s="448">
        <f>landbouw!C8</f>
        <v>27392.142857142859</v>
      </c>
      <c r="D7" s="448">
        <f>landbouw!D8</f>
        <v>0</v>
      </c>
      <c r="E7" s="448">
        <f>landbouw!E8</f>
        <v>60.709648856910569</v>
      </c>
      <c r="F7" s="448">
        <f>landbouw!F8</f>
        <v>10332.407559587522</v>
      </c>
      <c r="G7" s="448">
        <f>landbouw!G8</f>
        <v>0</v>
      </c>
      <c r="H7" s="448">
        <f>landbouw!H8</f>
        <v>0</v>
      </c>
      <c r="I7" s="448">
        <f>landbouw!I8</f>
        <v>0</v>
      </c>
      <c r="J7" s="448">
        <f>landbouw!J8</f>
        <v>335.32915668912676</v>
      </c>
      <c r="K7" s="448">
        <f>landbouw!K8</f>
        <v>0</v>
      </c>
      <c r="L7" s="448">
        <f>landbouw!L8</f>
        <v>0</v>
      </c>
      <c r="M7" s="448">
        <f>landbouw!M8</f>
        <v>0</v>
      </c>
      <c r="N7" s="448">
        <f>landbouw!N8</f>
        <v>0</v>
      </c>
      <c r="O7" s="448">
        <f>landbouw!O8</f>
        <v>0</v>
      </c>
      <c r="P7" s="449">
        <f>landbouw!P8</f>
        <v>0</v>
      </c>
      <c r="Q7" s="447">
        <f t="shared" si="0"/>
        <v>41044.282758062531</v>
      </c>
    </row>
    <row r="8" spans="1:17">
      <c r="A8" s="447" t="s">
        <v>614</v>
      </c>
      <c r="B8" s="448">
        <f>industrie!B18</f>
        <v>9990.6520123049704</v>
      </c>
      <c r="C8" s="448">
        <f>industrie!C18</f>
        <v>0</v>
      </c>
      <c r="D8" s="448">
        <f>industrie!D18</f>
        <v>84504.882528644899</v>
      </c>
      <c r="E8" s="448">
        <f>industrie!E18</f>
        <v>1019.5421715152227</v>
      </c>
      <c r="F8" s="448">
        <f>industrie!F18</f>
        <v>4573.8722950415176</v>
      </c>
      <c r="G8" s="448">
        <f>industrie!G18</f>
        <v>0</v>
      </c>
      <c r="H8" s="448">
        <f>industrie!H18</f>
        <v>0</v>
      </c>
      <c r="I8" s="448">
        <f>industrie!I18</f>
        <v>0</v>
      </c>
      <c r="J8" s="448">
        <f>industrie!J18</f>
        <v>17.55713759856885</v>
      </c>
      <c r="K8" s="448">
        <f>industrie!K18</f>
        <v>0</v>
      </c>
      <c r="L8" s="448">
        <f>industrie!L18</f>
        <v>0</v>
      </c>
      <c r="M8" s="448">
        <f>industrie!M18</f>
        <v>0</v>
      </c>
      <c r="N8" s="448">
        <f>industrie!N18</f>
        <v>806.09924404369235</v>
      </c>
      <c r="O8" s="448">
        <f>industrie!O18</f>
        <v>0</v>
      </c>
      <c r="P8" s="449">
        <f>industrie!P18</f>
        <v>0</v>
      </c>
      <c r="Q8" s="447">
        <f t="shared" si="0"/>
        <v>100912.60538914887</v>
      </c>
    </row>
    <row r="9" spans="1:17" s="453" customFormat="1">
      <c r="A9" s="451" t="s">
        <v>555</v>
      </c>
      <c r="B9" s="452">
        <f>transport!B14</f>
        <v>5.2303526863288994</v>
      </c>
      <c r="C9" s="452">
        <f>transport!C14</f>
        <v>0</v>
      </c>
      <c r="D9" s="452">
        <f>transport!D14</f>
        <v>5.5135430584100273</v>
      </c>
      <c r="E9" s="452">
        <f>transport!E14</f>
        <v>193.25147370564372</v>
      </c>
      <c r="F9" s="452">
        <f>transport!F14</f>
        <v>0</v>
      </c>
      <c r="G9" s="452">
        <f>transport!G14</f>
        <v>51341.649268892317</v>
      </c>
      <c r="H9" s="452">
        <f>transport!H14</f>
        <v>9961.4071468131169</v>
      </c>
      <c r="I9" s="452">
        <f>transport!I14</f>
        <v>0</v>
      </c>
      <c r="J9" s="452">
        <f>transport!J14</f>
        <v>0</v>
      </c>
      <c r="K9" s="452">
        <f>transport!K14</f>
        <v>0</v>
      </c>
      <c r="L9" s="452">
        <f>transport!L14</f>
        <v>0</v>
      </c>
      <c r="M9" s="452">
        <f>transport!M14</f>
        <v>2772.2180672613258</v>
      </c>
      <c r="N9" s="452">
        <f>transport!N14</f>
        <v>0</v>
      </c>
      <c r="O9" s="452">
        <f>transport!O14</f>
        <v>0</v>
      </c>
      <c r="P9" s="452">
        <f>transport!P14</f>
        <v>0</v>
      </c>
      <c r="Q9" s="451">
        <f>SUM(B9:P9)</f>
        <v>64279.269852417143</v>
      </c>
    </row>
    <row r="10" spans="1:17">
      <c r="A10" s="447" t="s">
        <v>545</v>
      </c>
      <c r="B10" s="448">
        <f>transport!B54</f>
        <v>5.7380051125084579</v>
      </c>
      <c r="C10" s="448">
        <f>transport!C54</f>
        <v>0</v>
      </c>
      <c r="D10" s="448">
        <f>transport!D54</f>
        <v>0</v>
      </c>
      <c r="E10" s="448">
        <f>transport!E54</f>
        <v>0</v>
      </c>
      <c r="F10" s="448">
        <f>transport!F54</f>
        <v>0</v>
      </c>
      <c r="G10" s="448">
        <f>transport!G54</f>
        <v>1116.870227261611</v>
      </c>
      <c r="H10" s="448">
        <f>transport!H54</f>
        <v>0</v>
      </c>
      <c r="I10" s="448">
        <f>transport!I54</f>
        <v>0</v>
      </c>
      <c r="J10" s="448">
        <f>transport!J54</f>
        <v>0</v>
      </c>
      <c r="K10" s="448">
        <f>transport!K54</f>
        <v>0</v>
      </c>
      <c r="L10" s="448">
        <f>transport!L54</f>
        <v>0</v>
      </c>
      <c r="M10" s="448">
        <f>transport!M54</f>
        <v>50.081399457731862</v>
      </c>
      <c r="N10" s="448">
        <f>transport!N54</f>
        <v>0</v>
      </c>
      <c r="O10" s="448">
        <f>transport!O54</f>
        <v>0</v>
      </c>
      <c r="P10" s="449">
        <f>transport!P54</f>
        <v>0</v>
      </c>
      <c r="Q10" s="447">
        <f t="shared" si="0"/>
        <v>1172.6896318318513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764.36712970564508</v>
      </c>
      <c r="C14" s="455"/>
      <c r="D14" s="455">
        <f>'SEAP template'!E25</f>
        <v>2443.9768574792301</v>
      </c>
      <c r="E14" s="455"/>
      <c r="F14" s="455"/>
      <c r="G14" s="455"/>
      <c r="H14" s="455"/>
      <c r="I14" s="455"/>
      <c r="J14" s="455"/>
      <c r="K14" s="455"/>
      <c r="L14" s="455"/>
      <c r="M14" s="455"/>
      <c r="N14" s="455"/>
      <c r="O14" s="455"/>
      <c r="P14" s="456"/>
      <c r="Q14" s="447">
        <f t="shared" si="0"/>
        <v>3208.343987184875</v>
      </c>
    </row>
    <row r="15" spans="1:17" s="460" customFormat="1">
      <c r="A15" s="457" t="s">
        <v>549</v>
      </c>
      <c r="B15" s="458">
        <f ca="1">SUM(B4:B14)</f>
        <v>50437.914116932065</v>
      </c>
      <c r="C15" s="458">
        <f t="shared" ref="C15:Q15" ca="1" si="1">SUM(C4:C14)</f>
        <v>27392.142857142859</v>
      </c>
      <c r="D15" s="458">
        <f t="shared" ca="1" si="1"/>
        <v>160172.52778874838</v>
      </c>
      <c r="E15" s="458">
        <f t="shared" si="1"/>
        <v>2632.294295187502</v>
      </c>
      <c r="F15" s="458">
        <f t="shared" ca="1" si="1"/>
        <v>56145.723473198501</v>
      </c>
      <c r="G15" s="458">
        <f t="shared" si="1"/>
        <v>52458.519496153931</v>
      </c>
      <c r="H15" s="458">
        <f t="shared" si="1"/>
        <v>9961.4071468131169</v>
      </c>
      <c r="I15" s="458">
        <f t="shared" si="1"/>
        <v>0</v>
      </c>
      <c r="J15" s="458">
        <f t="shared" si="1"/>
        <v>1120.1124448453068</v>
      </c>
      <c r="K15" s="458">
        <f t="shared" si="1"/>
        <v>0</v>
      </c>
      <c r="L15" s="458">
        <f t="shared" ca="1" si="1"/>
        <v>0</v>
      </c>
      <c r="M15" s="458">
        <f t="shared" si="1"/>
        <v>2822.2994667190578</v>
      </c>
      <c r="N15" s="458">
        <f t="shared" ca="1" si="1"/>
        <v>11031.201986502285</v>
      </c>
      <c r="O15" s="458">
        <f t="shared" si="1"/>
        <v>204.79666666666671</v>
      </c>
      <c r="P15" s="458">
        <f t="shared" si="1"/>
        <v>171.6</v>
      </c>
      <c r="Q15" s="458">
        <f t="shared" ca="1" si="1"/>
        <v>374550.53973890963</v>
      </c>
    </row>
    <row r="17" spans="1:17">
      <c r="A17" s="461" t="s">
        <v>550</v>
      </c>
      <c r="B17" s="731">
        <f ca="1">huishoudens!B10</f>
        <v>0.20573497272984961</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5126.4063264823662</v>
      </c>
      <c r="C22" s="448">
        <f t="shared" ref="C22:C32" ca="1" si="3">C4*$C$17</f>
        <v>0</v>
      </c>
      <c r="D22" s="448">
        <f t="shared" ref="D22:D32" si="4">D4*$D$17</f>
        <v>11897.139530984479</v>
      </c>
      <c r="E22" s="448">
        <f t="shared" ref="E22:E32" si="5">E4*$E$17</f>
        <v>294.91364642794116</v>
      </c>
      <c r="F22" s="448">
        <f t="shared" ref="F22:F32" si="6">F4*$F$17</f>
        <v>10630.32637568429</v>
      </c>
      <c r="G22" s="448">
        <f t="shared" ref="G22:G32" si="7">G4*$G$17</f>
        <v>0</v>
      </c>
      <c r="H22" s="448">
        <f t="shared" ref="H22:H32" si="8">H4*$H$17</f>
        <v>0</v>
      </c>
      <c r="I22" s="448">
        <f t="shared" ref="I22:I32" si="9">I4*$I$17</f>
        <v>0</v>
      </c>
      <c r="J22" s="448">
        <f t="shared" ref="J22:J32" si="10">J4*$J$17</f>
        <v>266.91495884470635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28215.700838423782</v>
      </c>
    </row>
    <row r="23" spans="1:17">
      <c r="A23" s="447" t="s">
        <v>149</v>
      </c>
      <c r="B23" s="448">
        <f t="shared" ca="1" si="2"/>
        <v>2224.5770960692707</v>
      </c>
      <c r="C23" s="448">
        <f t="shared" ca="1" si="3"/>
        <v>0</v>
      </c>
      <c r="D23" s="448">
        <f t="shared" ca="1" si="4"/>
        <v>2892.9277506478211</v>
      </c>
      <c r="E23" s="448">
        <f t="shared" si="5"/>
        <v>13.53191082396653</v>
      </c>
      <c r="F23" s="448">
        <f t="shared" ca="1" si="6"/>
        <v>380.60507047375592</v>
      </c>
      <c r="G23" s="448">
        <f t="shared" si="7"/>
        <v>0</v>
      </c>
      <c r="H23" s="448">
        <f t="shared" si="8"/>
        <v>0</v>
      </c>
      <c r="I23" s="448">
        <f t="shared" si="9"/>
        <v>0</v>
      </c>
      <c r="J23" s="448">
        <f t="shared" si="10"/>
        <v>4.6830984526879469</v>
      </c>
      <c r="K23" s="448">
        <f t="shared" si="11"/>
        <v>0</v>
      </c>
      <c r="L23" s="448">
        <f t="shared" ca="1" si="12"/>
        <v>0</v>
      </c>
      <c r="M23" s="448">
        <f t="shared" si="13"/>
        <v>0</v>
      </c>
      <c r="N23" s="448">
        <f t="shared" ca="1" si="14"/>
        <v>0</v>
      </c>
      <c r="O23" s="448">
        <f t="shared" si="15"/>
        <v>0</v>
      </c>
      <c r="P23" s="449">
        <f t="shared" si="16"/>
        <v>0</v>
      </c>
      <c r="Q23" s="447">
        <f t="shared" ref="Q23:Q32" ca="1" si="17">SUM(B23:P23)</f>
        <v>5516.3249264675023</v>
      </c>
    </row>
    <row r="24" spans="1:17">
      <c r="A24" s="447" t="s">
        <v>187</v>
      </c>
      <c r="B24" s="448">
        <f t="shared" ca="1" si="2"/>
        <v>209.4133083072866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209.4133083072866</v>
      </c>
    </row>
    <row r="25" spans="1:17">
      <c r="A25" s="447" t="s">
        <v>105</v>
      </c>
      <c r="B25" s="448">
        <f t="shared" ca="1" si="2"/>
        <v>601.50600985539268</v>
      </c>
      <c r="C25" s="448">
        <f t="shared" ca="1" si="3"/>
        <v>6509.6621848739505</v>
      </c>
      <c r="D25" s="448">
        <f t="shared" si="4"/>
        <v>0</v>
      </c>
      <c r="E25" s="448">
        <f t="shared" si="5"/>
        <v>13.7810902905187</v>
      </c>
      <c r="F25" s="448">
        <f t="shared" si="6"/>
        <v>2758.7528184098687</v>
      </c>
      <c r="G25" s="448">
        <f t="shared" si="7"/>
        <v>0</v>
      </c>
      <c r="H25" s="448">
        <f t="shared" si="8"/>
        <v>0</v>
      </c>
      <c r="I25" s="448">
        <f t="shared" si="9"/>
        <v>0</v>
      </c>
      <c r="J25" s="448">
        <f t="shared" si="10"/>
        <v>118.70652146795086</v>
      </c>
      <c r="K25" s="448">
        <f t="shared" si="11"/>
        <v>0</v>
      </c>
      <c r="L25" s="448">
        <f t="shared" si="12"/>
        <v>0</v>
      </c>
      <c r="M25" s="448">
        <f t="shared" si="13"/>
        <v>0</v>
      </c>
      <c r="N25" s="448">
        <f t="shared" si="14"/>
        <v>0</v>
      </c>
      <c r="O25" s="448">
        <f t="shared" si="15"/>
        <v>0</v>
      </c>
      <c r="P25" s="449">
        <f t="shared" si="16"/>
        <v>0</v>
      </c>
      <c r="Q25" s="447">
        <f t="shared" ca="1" si="17"/>
        <v>10002.408624897682</v>
      </c>
    </row>
    <row r="26" spans="1:17">
      <c r="A26" s="447" t="s">
        <v>614</v>
      </c>
      <c r="B26" s="448">
        <f t="shared" ca="1" si="2"/>
        <v>2055.42651930498</v>
      </c>
      <c r="C26" s="448">
        <f t="shared" ca="1" si="3"/>
        <v>0</v>
      </c>
      <c r="D26" s="448">
        <f t="shared" si="4"/>
        <v>17069.98627078627</v>
      </c>
      <c r="E26" s="448">
        <f t="shared" si="5"/>
        <v>231.43607293395556</v>
      </c>
      <c r="F26" s="448">
        <f t="shared" si="6"/>
        <v>1221.2239027760852</v>
      </c>
      <c r="G26" s="448">
        <f t="shared" si="7"/>
        <v>0</v>
      </c>
      <c r="H26" s="448">
        <f t="shared" si="8"/>
        <v>0</v>
      </c>
      <c r="I26" s="448">
        <f t="shared" si="9"/>
        <v>0</v>
      </c>
      <c r="J26" s="448">
        <f t="shared" si="10"/>
        <v>6.2152267098933729</v>
      </c>
      <c r="K26" s="448">
        <f t="shared" si="11"/>
        <v>0</v>
      </c>
      <c r="L26" s="448">
        <f t="shared" si="12"/>
        <v>0</v>
      </c>
      <c r="M26" s="448">
        <f t="shared" si="13"/>
        <v>0</v>
      </c>
      <c r="N26" s="448">
        <f t="shared" si="14"/>
        <v>0</v>
      </c>
      <c r="O26" s="448">
        <f t="shared" si="15"/>
        <v>0</v>
      </c>
      <c r="P26" s="449">
        <f t="shared" si="16"/>
        <v>0</v>
      </c>
      <c r="Q26" s="447">
        <f t="shared" ca="1" si="17"/>
        <v>20584.287992511185</v>
      </c>
    </row>
    <row r="27" spans="1:17" s="453" customFormat="1">
      <c r="A27" s="451" t="s">
        <v>555</v>
      </c>
      <c r="B27" s="725">
        <f t="shared" ca="1" si="2"/>
        <v>1.0760664672893718</v>
      </c>
      <c r="C27" s="452">
        <f t="shared" ca="1" si="3"/>
        <v>0</v>
      </c>
      <c r="D27" s="452">
        <f t="shared" si="4"/>
        <v>1.1137356977988255</v>
      </c>
      <c r="E27" s="452">
        <f t="shared" si="5"/>
        <v>43.868084531181125</v>
      </c>
      <c r="F27" s="452">
        <f t="shared" si="6"/>
        <v>0</v>
      </c>
      <c r="G27" s="452">
        <f t="shared" si="7"/>
        <v>13708.22035479425</v>
      </c>
      <c r="H27" s="452">
        <f t="shared" si="8"/>
        <v>2480.3903795564661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16234.668621046985</v>
      </c>
    </row>
    <row r="28" spans="1:17">
      <c r="A28" s="447" t="s">
        <v>545</v>
      </c>
      <c r="B28" s="448">
        <f t="shared" ca="1" si="2"/>
        <v>1.1805083253456652</v>
      </c>
      <c r="C28" s="448">
        <f t="shared" ca="1" si="3"/>
        <v>0</v>
      </c>
      <c r="D28" s="448">
        <f t="shared" si="4"/>
        <v>0</v>
      </c>
      <c r="E28" s="448">
        <f t="shared" si="5"/>
        <v>0</v>
      </c>
      <c r="F28" s="448">
        <f t="shared" si="6"/>
        <v>0</v>
      </c>
      <c r="G28" s="448">
        <f t="shared" si="7"/>
        <v>298.20435067885018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299.38485900419585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157.25705058558432</v>
      </c>
      <c r="C32" s="448">
        <f t="shared" ca="1" si="3"/>
        <v>0</v>
      </c>
      <c r="D32" s="448">
        <f t="shared" si="4"/>
        <v>493.68332521080453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650.94037579638882</v>
      </c>
    </row>
    <row r="33" spans="1:17" s="460" customFormat="1">
      <c r="A33" s="457" t="s">
        <v>549</v>
      </c>
      <c r="B33" s="458">
        <f ca="1">SUM(B22:B32)</f>
        <v>10376.842885397515</v>
      </c>
      <c r="C33" s="458">
        <f t="shared" ref="C33:Q33" ca="1" si="18">SUM(C22:C32)</f>
        <v>6509.6621848739505</v>
      </c>
      <c r="D33" s="458">
        <f t="shared" ca="1" si="18"/>
        <v>32354.850613327173</v>
      </c>
      <c r="E33" s="458">
        <f t="shared" si="18"/>
        <v>597.53080500756312</v>
      </c>
      <c r="F33" s="458">
        <f t="shared" ca="1" si="18"/>
        <v>14990.908167343998</v>
      </c>
      <c r="G33" s="458">
        <f t="shared" si="18"/>
        <v>14006.4247054731</v>
      </c>
      <c r="H33" s="458">
        <f t="shared" si="18"/>
        <v>2480.3903795564661</v>
      </c>
      <c r="I33" s="458">
        <f t="shared" si="18"/>
        <v>0</v>
      </c>
      <c r="J33" s="458">
        <f t="shared" si="18"/>
        <v>396.51980547523851</v>
      </c>
      <c r="K33" s="458">
        <f t="shared" si="18"/>
        <v>0</v>
      </c>
      <c r="L33" s="458">
        <f t="shared" ca="1" si="18"/>
        <v>0</v>
      </c>
      <c r="M33" s="458">
        <f t="shared" si="18"/>
        <v>0</v>
      </c>
      <c r="N33" s="458">
        <f t="shared" ca="1" si="18"/>
        <v>0</v>
      </c>
      <c r="O33" s="458">
        <f t="shared" si="18"/>
        <v>0</v>
      </c>
      <c r="P33" s="458">
        <f t="shared" si="18"/>
        <v>0</v>
      </c>
      <c r="Q33" s="458">
        <f t="shared" ca="1" si="18"/>
        <v>81713.129546454991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4928.2134111141913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19174.5</v>
      </c>
      <c r="D8" s="982">
        <f>'SEAP template'!D76</f>
        <v>22558.23529411765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4556.7635294117654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4928.2134111141913</v>
      </c>
      <c r="C10" s="986">
        <f>SUM(C4:C9)</f>
        <v>19174.5</v>
      </c>
      <c r="D10" s="986">
        <f t="shared" ref="D10:H10" si="0">SUM(D8:D9)</f>
        <v>22558.23529411765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4556.7635294117654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0.20573497272984961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27392.142857142859</v>
      </c>
      <c r="D17" s="983">
        <f>'SEAP template'!D87</f>
        <v>32226.050420168071</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6509.6621848739505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27392.142857142859</v>
      </c>
      <c r="D20" s="986">
        <f t="shared" ref="D20:H20" si="2">SUM(D17:D19)</f>
        <v>32226.050420168071</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6509.6621848739505</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0.20573497272984961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2022-07-26T12:04:20Z</dcterms:modified>
</cp:coreProperties>
</file>