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17A9C66-BB50-4F39-8F82-5F10921172B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<sst xmlns="http://schemas.openxmlformats.org/spreadsheetml/2006/main" count="2441" uniqueCount="908">
  <si>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</si>
  <si>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</si>
  <si>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</si>
  <si>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</si>
  <si>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</si>
  <si>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</si>
  <si>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</si>
  <si>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</si>
  <si>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</si>
  <si>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</si>
  <si>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</si>
  <si>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</si>
  <si>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</si>
  <si>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</si>
  <si>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</si>
  <si>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</si>
  <si>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</si>
  <si>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</si>
  <si>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</si>
  <si>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</si>
  <si>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</si>
  <si>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</si>
  <si>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</si>
  <si>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</si>
  <si>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</si>
  <si>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</si>
  <si>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</si>
  <si>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</si>
  <si>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</si>
  <si>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</si>
  <si>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</si>
  <si>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</si>
  <si>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</si>
  <si>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</si>
  <si>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</si>
  <si>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</si>
  <si>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</si>
  <si>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</si>
  <si>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</si>
  <si>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</si>
  <si>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</si>
  <si>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</si>
  <si>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</si>
  <si>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</si>
  <si>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</si>
  <si>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</si>
  <si>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</si>
  <si>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</si>
  <si>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</si>
  <si>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</si>
  <si>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</si>
  <si>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</si>
  <si>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</si>
  <si>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</si>
  <si>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</si>
  <si>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</si>
  <si>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</si>
  <si>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</si>
  <si>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</si>
  <si>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</si>
  <si>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</si>
  <si>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</si>
  <si>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</si>
  <si>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</si>
  <si>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</si>
  <si>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</si>
  <si>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</si>
  <si>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</si>
  <si>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</si>
  <si>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</si>
  <si>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</si>
  <si>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</si>
  <si>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</si>
  <si>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</si>
  <si>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</si>
  <si>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</si>
  <si>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</si>
  <si>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</si>
  <si>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</si>
  <si>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</si>
  <si>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</si>
  <si>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</si>
  <si>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</si>
  <si>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</si>
  <si>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</si>
  <si>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</si>
  <si>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</si>
  <si>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</si>
  <si>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</si>
  <si>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</si>
  <si>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</si>
  <si>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</si>
  <si>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</si>
  <si>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</si>
  <si>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</si>
  <si>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</si>
  <si>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</si>
  <si>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</si>
  <si>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</si>
  <si>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</si>
  <si>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</si>
  <si>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</si>
  <si>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</si>
  <si>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</si>
  <si>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</si>
  <si>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</si>
  <si>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</si>
  <si>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</si>
  <si>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</si>
  <si>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</si>
  <si>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</si>
  <si>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</si>
  <si>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</si>
  <si>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</si>
  <si>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</si>
  <si>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</si>
  <si>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</si>
  <si>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</si>
  <si>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</si>
  <si>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</si>
  <si>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</si>
  <si>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</si>
  <si>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</si>
  <si>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</si>
  <si>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</si>
  <si>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</si>
  <si>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</si>
  <si>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</si>
  <si>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</si>
  <si>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</si>
  <si>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</si>
  <si>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</si>
  <si>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</si>
  <si>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</si>
  <si>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</si>
  <si>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</si>
  <si>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</si>
  <si>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</si>
  <si>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</si>
  <si>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</si>
  <si>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</si>
  <si>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</si>
  <si>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</si>
  <si>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</si>
  <si>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</si>
  <si>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</si>
  <si>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</si>
  <si>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</si>
  <si>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</si>
  <si>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</si>
  <si>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</si>
  <si>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</si>
  <si>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</si>
  <si>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</si>
  <si>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</si>
  <si>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</si>
  <si>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</si>
  <si>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</si>
  <si>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</si>
  <si>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</si>
  <si>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</si>
  <si>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</si>
  <si>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</si>
  <si>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</si>
  <si>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</si>
  <si>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</si>
  <si>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</si>
  <si>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</si>
  <si>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</si>
  <si>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</si>
  <si>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</si>
  <si>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</si>
  <si>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</si>
  <si>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</si>
  <si>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</si>
  <si>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</si>
  <si>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</si>
  <si>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</si>
  <si>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</si>
  <si>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</si>
  <si>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</si>
  <si>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</si>
  <si>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</si>
  <si>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</si>
  <si>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</si>
  <si>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</si>
  <si>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</si>
  <si>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</si>
  <si>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</si>
  <si>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</si>
  <si>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</si>
  <si>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</si>
  <si>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</si>
  <si>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</si>
  <si>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</si>
  <si>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</si>
  <si>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</si>
  <si>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</si>
  <si>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</si>
  <si>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</si>
  <si>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</si>
  <si>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</si>
  <si>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</si>
  <si>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</si>
  <si>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</si>
  <si>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</si>
  <si>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</si>
  <si>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</si>
  <si>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</si>
  <si>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</si>
  <si>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</si>
  <si>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</si>
  <si>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</si>
  <si>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</si>
  <si>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</si>
  <si>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</si>
  <si>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</si>
  <si>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</si>
  <si>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</si>
  <si>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</si>
  <si>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</si>
  <si>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</si>
  <si>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</si>
  <si>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</si>
  <si>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</si>
  <si>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</si>
  <si>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</si>
  <si>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</si>
  <si>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</si>
  <si>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</si>
  <si>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</si>
  <si>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</si>
  <si>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</si>
  <si>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</si>
  <si>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</si>
  <si>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</si>
  <si>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</si>
  <si>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</si>
  <si>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</si>
  <si>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</si>
  <si>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</si>
  <si>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</si>
  <si>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</si>
  <si>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</si>
  <si>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</si>
  <si>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</si>
  <si>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</si>
  <si>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</si>
  <si>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</si>
  <si>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</si>
  <si>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</si>
  <si>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</si>
  <si>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</si>
  <si>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</si>
  <si>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</si>
  <si>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</si>
  <si>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</si>
  <si>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</si>
  <si>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</si>
  <si>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</si>
  <si>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</si>
  <si>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</si>
  <si>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</si>
  <si>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</si>
  <si>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</si>
  <si>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</si>
  <si>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</si>
  <si>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</si>
  <si>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</si>
  <si>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</si>
  <si>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</si>
  <si>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</si>
  <si>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</si>
  <si>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</si>
  <si>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</si>
  <si>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</si>
  <si>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</si>
  <si>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</si>
  <si>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</si>
  <si>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</si>
  <si>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</si>
  <si>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</si>
  <si>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</si>
  <si>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</si>
  <si>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</si>
  <si>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</si>
  <si>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</si>
  <si>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</si>
  <si>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</si>
  <si>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</si>
  <si>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</si>
  <si>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</si>
  <si>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</si>
  <si>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</si>
  <si>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</si>
  <si>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</si>
  <si>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</si>
  <si>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</si>
  <si>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</si>
  <si>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</si>
  <si>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</si>
  <si>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</si>
  <si>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</si>
  <si>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</si>
  <si>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</si>
  <si>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</si>
  <si>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</si>
  <si>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</si>
  <si>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</si>
  <si>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</si>
  <si>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</si>
  <si>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</si>
  <si>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</si>
  <si>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</si>
  <si>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</si>
  <si>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</si>
  <si>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</si>
  <si>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</si>
  <si>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</si>
  <si>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</si>
  <si>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</si>
  <si>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</si>
  <si>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</si>
  <si>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</si>
  <si>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</si>
  <si>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</si>
  <si>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</si>
  <si>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</si>
  <si>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</si>
  <si>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</si>
  <si>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</si>
  <si>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</si>
  <si>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</si>
  <si>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</si>
  <si>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</si>
  <si>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</si>
  <si>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</si>
  <si>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</si>
  <si>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</si>
  <si>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</si>
  <si>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</si>
  <si>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</si>
  <si>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</si>
  <si>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</si>
  <si>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</si>
  <si>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</si>
  <si>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</si>
  <si>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</si>
  <si>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</si>
  <si>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</si>
  <si>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</si>
  <si>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</si>
  <si>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</si>
  <si>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</si>
  <si>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</si>
  <si>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</si>
  <si>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</si>
  <si>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</si>
  <si>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</si>
  <si>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</si>
  <si>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</si>
  <si>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</si>
  <si>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</si>
  <si>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</si>
  <si>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</si>
  <si>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</si>
  <si>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</si>
  <si>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</si>
  <si>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</si>
  <si>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</si>
  <si>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</si>
  <si>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</si>
  <si>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</si>
  <si>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</si>
  <si>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</si>
  <si>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</si>
  <si>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</si>
  <si>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</si>
  <si>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</si>
  <si>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</si>
  <si>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</si>
  <si>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</si>
  <si>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</si>
  <si>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</si>
  <si>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</si>
  <si>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</si>
  <si>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</si>
  <si>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</si>
  <si>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</si>
  <si>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</si>
  <si>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</si>
  <si>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</si>
  <si>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</si>
  <si>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</si>
  <si>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</si>
  <si>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</si>
  <si>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</si>
  <si>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</si>
  <si>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</si>
  <si>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</si>
  <si>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</si>
  <si>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</si>
  <si>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</si>
  <si>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</si>
  <si>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</si>
  <si>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</si>
  <si>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</si>
  <si>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</si>
  <si>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</si>
  <si>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</si>
  <si>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</si>
  <si>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</si>
  <si>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</si>
  <si>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</si>
  <si>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</si>
  <si>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</si>
  <si>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</si>
  <si>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</si>
  <si>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</si>
  <si>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</si>
  <si>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</si>
  <si>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</si>
  <si>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</si>
  <si>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</si>
  <si>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</si>
  <si>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</si>
  <si>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</si>
  <si>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</si>
  <si>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</si>
  <si>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</si>
  <si>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</si>
  <si>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</si>
  <si>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</si>
  <si>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</si>
  <si>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</si>
  <si>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</si>
  <si>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</si>
  <si>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</si>
  <si>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</si>
  <si>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</si>
  <si>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</si>
  <si>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</si>
  <si>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</si>
  <si>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</si>
  <si>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</si>
  <si>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</si>
  <si>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</si>
  <si>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</si>
  <si>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</si>
  <si>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</si>
  <si>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</si>
  <si>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</si>
  <si>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</si>
  <si>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</si>
  <si>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</si>
  <si>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</si>
  <si>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</si>
  <si>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</si>
  <si>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</si>
  <si>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</si>
  <si>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</si>
  <si>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</si>
  <si>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</si>
  <si>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</si>
  <si>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</si>
  <si>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</si>
  <si>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</si>
  <si>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</si>
  <si>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</si>
  <si>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</si>
  <si>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</si>
  <si>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</si>
  <si>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</si>
  <si>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</si>
  <si>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</si>
  <si>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</si>
  <si>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</si>
  <si>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</si>
  <si>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</si>
  <si>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</si>
  <si>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</si>
  <si>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</si>
  <si>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</si>
  <si>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</si>
  <si>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</si>
  <si>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</si>
  <si>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</si>
  <si>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</si>
  <si>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</si>
  <si>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</si>
  <si>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</si>
  <si>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</si>
  <si>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</si>
  <si>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</si>
  <si>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</si>
  <si>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</si>
  <si>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</si>
  <si>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</si>
  <si>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</si>
  <si>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</si>
  <si>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</si>
  <si>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</si>
  <si>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</si>
  <si>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</si>
  <si>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</si>
  <si>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</si>
  <si>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</si>
  <si>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</si>
  <si>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</si>
  <si>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</si>
  <si>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</si>
  <si>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</si>
  <si>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</si>
  <si>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</si>
  <si>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</si>
  <si>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</si>
  <si>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</si>
  <si>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</si>
  <si>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</si>
  <si>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</si>
  <si>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</si>
  <si>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</si>
  <si>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</si>
  <si>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</si>
  <si>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</si>
  <si>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</si>
  <si>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</si>
  <si>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</si>
  <si>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</si>
  <si>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</si>
  <si>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</si>
  <si>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</si>
  <si>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</si>
  <si>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</si>
  <si>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</si>
  <si>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</si>
  <si>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</si>
  <si>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</si>
  <si>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</si>
  <si>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</si>
  <si>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</si>
  <si>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</si>
  <si>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</si>
  <si>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</si>
  <si>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</si>
  <si>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</si>
  <si>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</si>
  <si>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</si>
  <si>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</si>
  <si>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</si>
  <si>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</si>
  <si>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</si>
  <si>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</si>
  <si>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</si>
  <si>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</si>
  <si>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</si>
  <si>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</si>
  <si>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</si>
  <si>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</si>
  <si>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</si>
  <si>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</si>
  <si>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</si>
  <si>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</si>
  <si>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</si>
  <si>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</si>
  <si>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</si>
  <si>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</si>
  <si>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</si>
  <si>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</si>
  <si>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</si>
  <si>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</si>
  <si>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</si>
  <si>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</si>
  <si>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</si>
  <si>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</si>
  <si>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</si>
  <si>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</si>
  <si>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</si>
  <si>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</si>
  <si>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</si>
  <si>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</si>
  <si>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</si>
  <si>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</si>
  <si>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</si>
  <si>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</si>
  <si>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</si>
  <si>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</si>
  <si>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</si>
  <si>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</si>
  <si>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</si>
  <si>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</si>
  <si>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</si>
  <si>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</si>
  <si>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</si>
  <si>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</si>
  <si>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</si>
  <si>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</si>
  <si>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</si>
  <si>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</si>
  <si>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</si>
  <si>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</si>
  <si>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</si>
  <si>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</si>
  <si>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</si>
  <si>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</si>
  <si>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</si>
  <si>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</si>
  <si>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</si>
  <si>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</si>
  <si>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</si>
  <si>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</si>
  <si>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</si>
  <si>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</si>
  <si>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</si>
  <si>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</si>
  <si>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</si>
  <si>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</si>
  <si>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</si>
  <si>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</si>
  <si>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</si>
  <si>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</si>
  <si>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</si>
  <si>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</si>
  <si>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</si>
  <si>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</si>
  <si>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</si>
  <si>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</si>
  <si>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</si>
  <si>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</si>
  <si>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</si>
  <si>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</si>
  <si>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</si>
  <si>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</si>
  <si>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</si>
  <si>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</si>
  <si>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</si>
  <si>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</si>
  <si>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</si>
  <si>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</si>
  <si>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</si>
  <si>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</si>
  <si>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</si>
  <si>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</si>
  <si>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</si>
  <si>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</si>
  <si>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</si>
  <si>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</si>
  <si>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</si>
  <si>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</si>
  <si>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</si>
  <si>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</si>
  <si>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</si>
  <si>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</si>
  <si>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</si>
  <si>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</si>
  <si>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</si>
  <si>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</si>
  <si>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</si>
  <si>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</si>
  <si>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</si>
  <si>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</si>
  <si>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</si>
  <si>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</si>
  <si>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</si>
  <si>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</si>
  <si>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</si>
  <si>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</si>
  <si>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</si>
  <si>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</si>
  <si>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</si>
  <si>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</si>
  <si>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</si>
  <si>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</si>
  <si>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</si>
  <si>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</si>
  <si>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</si>
  <si>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</si>
  <si>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</si>
  <si>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</si>
  <si>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</si>
  <si>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</si>
  <si>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</si>
  <si>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</si>
  <si>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</si>
  <si>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</si>
  <si>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</si>
  <si>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</si>
  <si>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</si>
  <si>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</si>
  <si>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</si>
  <si>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</si>
  <si>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</si>
  <si>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</si>
  <si>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</si>
  <si>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</si>
  <si>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</si>
  <si>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</si>
  <si>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</si>
  <si>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</si>
  <si>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</si>
  <si>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</si>
  <si>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</si>
  <si>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</si>
  <si>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</si>
  <si>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</si>
  <si>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</si>
  <si>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</si>
  <si>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</si>
  <si>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</si>
  <si>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</si>
  <si>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</si>
  <si>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</si>
  <si>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</si>
  <si>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</si>
  <si>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</si>
  <si>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</si>
  <si>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</si>
  <si>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</si>
  <si>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</si>
  <si>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</si>
  <si>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</si>
  <si>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</si>
  <si>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</si>
  <si>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</si>
  <si>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</si>
  <si>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</si>
  <si>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</si>
  <si>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</si>
  <si>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</si>
  <si>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</si>
  <si>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</si>
  <si>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</si>
  <si>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</si>
  <si>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</si>
  <si>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</si>
  <si>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</si>
  <si>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</si>
  <si>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</si>
  <si>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</si>
  <si>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</si>
  <si>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</si>
  <si>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</si>
  <si>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</si>
  <si>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</si>
  <si>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</si>
  <si>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</si>
  <si>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</si>
  <si>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</si>
  <si>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</si>
  <si>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</si>
  <si>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</si>
  <si>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</si>
  <si>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</si>
  <si>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</si>
  <si>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</si>
  <si>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</si>
  <si>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</si>
  <si>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</si>
  <si>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</si>
  <si>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</si>
  <si>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</si>
  <si>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</si>
  <si>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</si>
  <si>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</si>
  <si>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</si>
  <si>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</si>
  <si>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</si>
  <si>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</si>
  <si>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</si>
  <si>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</si>
  <si>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</si>
  <si>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</si>
  <si>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</si>
  <si>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</si>
  <si>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</si>
  <si>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</si>
  <si>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</si>
  <si>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</si>
  <si>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</si>
  <si>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</si>
  <si>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</si>
  <si>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</si>
  <si>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</si>
  <si>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</si>
  <si>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</si>
  <si>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</si>
  <si>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</si>
  <si>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</si>
  <si>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</si>
  <si>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</si>
  <si>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</si>
  <si>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</si>
  <si>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</si>
  <si>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</si>
  <si>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</si>
  <si>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</si>
  <si>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</si>
  <si>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</si>
  <si>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</si>
  <si>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</si>
  <si>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</si>
  <si>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</si>
  <si>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</si>
  <si>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</si>
  <si>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</si>
  <si>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</si>
  <si>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</si>
  <si>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</si>
  <si>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</si>
  <si>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</si>
  <si>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</si>
  <si>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</si>
  <si>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</si>
  <si>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</si>
  <si>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</si>
  <si>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</si>
  <si>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</si>
  <si>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</si>
  <si>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</si>
  <si>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</si>
  <si>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</si>
  <si>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</si>
  <si>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</si>
  <si>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</si>
  <si>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</si>
  <si>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</si>
  <si>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</si>
  <si>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</si>
  <si>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</si>
  <si>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</si>
  <si>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</si>
  <si>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</si>
  <si>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</si>
  <si>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</si>
  <si>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</si>
  <si>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</si>
  <si>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</si>
  <si>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</si>
  <si>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</si>
  <si>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</si>
  <si>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</si>
  <si>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</si>
  <si>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</si>
  <si>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</si>
  <si>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</si>
  <si>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</si>
  <si>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</si>
  <si>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</si>
  <si>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</si>
  <si>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</si>
  <si>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</si>
  <si>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</si>
  <si>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</si>
  <si>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</si>
  <si>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</si>
  <si>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</si>
  <si>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</si>
  <si>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</si>
  <si>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</si>
  <si>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</si>
  <si>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</si>
  <si>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</si>
  <si>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</si>
  <si>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</si>
  <si>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</si>
  <si>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</si>
  <si>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</si>
  <si>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</si>
  <si>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</si>
  <si>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</si>
  <si>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</si>
  <si>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</si>
  <si>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</si>
  <si>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</si>
  <si>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</si>
  <si>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</si>
  <si>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</si>
  <si>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</si>
  <si>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</si>
  <si>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</si>
  <si>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</si>
  <si>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</si>
  <si>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</si>
  <si>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</si>
  <si>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</si>
  <si>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</si>
  <si>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</si>
  <si>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</si>
  <si>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</si>
  <si>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</si>
  <si>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</si>
  <si>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</si>
  <si>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</si>
  <si>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</si>
  <si>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</si>
  <si>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</si>
  <si>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</si>
  <si>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</si>
  <si>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</si>
  <si>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</si>
  <si>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</si>
  <si>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</si>
  <si>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31043</t>
  </si>
  <si>
    <t>KNOKKE-HEIST</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</si>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</sst>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2F3C08CF-E7D4-4B8F-B8EE-EFB65ED1B8F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358923.37945538823</c:v>
                </c:pt>
                <c:pt idx="1">
                  <c:v>239428.09805416339</c:v>
                </c:pt>
                <c:pt idx="2">
                  <c:v>3335.1060000000002</c:v>
                </c:pt>
                <c:pt idx="3">
                  <c:v>8589.1706073341247</c:v>
                </c:pt>
                <c:pt idx="4">
                  <c:v>34796.231872715543</c:v>
                </c:pt>
                <c:pt idx="5">
                  <c:v>140866.53574921639</c:v>
                </c:pt>
                <c:pt idx="6">
                  <c:v>2261.5141493240221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358923.37945538823</c:v>
                </c:pt>
                <c:pt idx="1">
                  <c:v>239428.09805416339</c:v>
                </c:pt>
                <c:pt idx="2">
                  <c:v>3335.1060000000002</c:v>
                </c:pt>
                <c:pt idx="3">
                  <c:v>8589.1706073341247</c:v>
                </c:pt>
                <c:pt idx="4">
                  <c:v>34796.231872715543</c:v>
                </c:pt>
                <c:pt idx="5">
                  <c:v>140866.53574921639</c:v>
                </c:pt>
                <c:pt idx="6">
                  <c:v>2261.5141493240221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69013.818532527133</c:v>
                </c:pt>
                <c:pt idx="2">
                  <c:v>49500.265465273391</c:v>
                </c:pt>
                <c:pt idx="3">
                  <c:v>726.08514986796865</c:v>
                </c:pt>
                <c:pt idx="4">
                  <c:v>2175.3869769624803</c:v>
                </c:pt>
                <c:pt idx="5">
                  <c:v>7530.8001468292987</c:v>
                </c:pt>
                <c:pt idx="6">
                  <c:v>35602.676619181359</c:v>
                </c:pt>
                <c:pt idx="7">
                  <c:v>554.43296375873933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69013.818532527133</c:v>
                </c:pt>
                <c:pt idx="2">
                  <c:v>49500.265465273391</c:v>
                </c:pt>
                <c:pt idx="3">
                  <c:v>726.08514986796865</c:v>
                </c:pt>
                <c:pt idx="4">
                  <c:v>2175.3869769624803</c:v>
                </c:pt>
                <c:pt idx="5">
                  <c:v>7530.8001468292987</c:v>
                </c:pt>
                <c:pt idx="6">
                  <c:v>35602.676619181359</c:v>
                </c:pt>
                <c:pt idx="7">
                  <c:v>554.43296375873933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31043</v>
      </c>
      <c r="B6" s="385"/>
      <c r="C6" s="386"/>
    </row>
    <row r="7" spans="1:7" s="383" customFormat="1" ht="15.75" customHeight="1">
      <c r="A7" s="387" t="str">
        <f>txtMunicipality</f>
        <v>KNOKKE-HEIST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0.21770976690634977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0.21770976690634977</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16757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3407</v>
      </c>
      <c r="C14" s="327"/>
      <c r="D14" s="327"/>
      <c r="E14" s="327"/>
      <c r="F14" s="327"/>
    </row>
    <row r="15" spans="1:6">
      <c r="A15" s="1258" t="s">
        <v>177</v>
      </c>
      <c r="B15" s="1259">
        <v>15</v>
      </c>
      <c r="C15" s="327"/>
      <c r="D15" s="327"/>
      <c r="E15" s="327"/>
      <c r="F15" s="327"/>
    </row>
    <row r="16" spans="1:6">
      <c r="A16" s="1258" t="s">
        <v>6</v>
      </c>
      <c r="B16" s="1259">
        <v>485</v>
      </c>
      <c r="C16" s="327"/>
      <c r="D16" s="327"/>
      <c r="E16" s="327"/>
      <c r="F16" s="327"/>
    </row>
    <row r="17" spans="1:6">
      <c r="A17" s="1258" t="s">
        <v>7</v>
      </c>
      <c r="B17" s="1259">
        <v>1137</v>
      </c>
      <c r="C17" s="327"/>
      <c r="D17" s="327"/>
      <c r="E17" s="327"/>
      <c r="F17" s="327"/>
    </row>
    <row r="18" spans="1:6">
      <c r="A18" s="1258" t="s">
        <v>8</v>
      </c>
      <c r="B18" s="1259">
        <v>1532</v>
      </c>
      <c r="C18" s="327"/>
      <c r="D18" s="327"/>
      <c r="E18" s="327"/>
      <c r="F18" s="327"/>
    </row>
    <row r="19" spans="1:6">
      <c r="A19" s="1258" t="s">
        <v>9</v>
      </c>
      <c r="B19" s="1259">
        <v>1395</v>
      </c>
      <c r="C19" s="327"/>
      <c r="D19" s="327"/>
      <c r="E19" s="327"/>
      <c r="F19" s="327"/>
    </row>
    <row r="20" spans="1:6">
      <c r="A20" s="1258" t="s">
        <v>10</v>
      </c>
      <c r="B20" s="1259">
        <v>891</v>
      </c>
      <c r="C20" s="327"/>
      <c r="D20" s="327"/>
      <c r="E20" s="327"/>
      <c r="F20" s="327"/>
    </row>
    <row r="21" spans="1:6">
      <c r="A21" s="1258" t="s">
        <v>11</v>
      </c>
      <c r="B21" s="1259">
        <v>1731</v>
      </c>
      <c r="C21" s="327"/>
      <c r="D21" s="327"/>
      <c r="E21" s="327"/>
      <c r="F21" s="327"/>
    </row>
    <row r="22" spans="1:6">
      <c r="A22" s="1258" t="s">
        <v>12</v>
      </c>
      <c r="B22" s="1259">
        <v>5519</v>
      </c>
      <c r="C22" s="327"/>
      <c r="D22" s="327"/>
      <c r="E22" s="327"/>
      <c r="F22" s="327"/>
    </row>
    <row r="23" spans="1:6">
      <c r="A23" s="1258" t="s">
        <v>13</v>
      </c>
      <c r="B23" s="1259">
        <v>50</v>
      </c>
      <c r="C23" s="327"/>
      <c r="D23" s="327"/>
      <c r="E23" s="327"/>
      <c r="F23" s="327"/>
    </row>
    <row r="24" spans="1:6">
      <c r="A24" s="1258" t="s">
        <v>14</v>
      </c>
      <c r="B24" s="1259">
        <v>6</v>
      </c>
      <c r="C24" s="327"/>
      <c r="D24" s="327"/>
      <c r="E24" s="327"/>
      <c r="F24" s="327"/>
    </row>
    <row r="25" spans="1:6">
      <c r="A25" s="1258" t="s">
        <v>15</v>
      </c>
      <c r="B25" s="1259">
        <v>404</v>
      </c>
      <c r="C25" s="327"/>
      <c r="D25" s="327"/>
      <c r="E25" s="327"/>
      <c r="F25" s="327"/>
    </row>
    <row r="26" spans="1:6">
      <c r="A26" s="1258" t="s">
        <v>16</v>
      </c>
      <c r="B26" s="1259">
        <v>336</v>
      </c>
      <c r="C26" s="327"/>
      <c r="D26" s="327"/>
      <c r="E26" s="327"/>
      <c r="F26" s="327"/>
    </row>
    <row r="27" spans="1:6">
      <c r="A27" s="1258" t="s">
        <v>17</v>
      </c>
      <c r="B27" s="1259">
        <v>0</v>
      </c>
      <c r="C27" s="327"/>
      <c r="D27" s="327"/>
      <c r="E27" s="327"/>
      <c r="F27" s="327"/>
    </row>
    <row r="28" spans="1:6">
      <c r="A28" s="1258" t="s">
        <v>18</v>
      </c>
      <c r="B28" s="1260">
        <v>39027</v>
      </c>
      <c r="C28" s="327"/>
      <c r="D28" s="327"/>
      <c r="E28" s="327"/>
      <c r="F28" s="327"/>
    </row>
    <row r="29" spans="1:6">
      <c r="A29" s="1258" t="s">
        <v>905</v>
      </c>
      <c r="B29" s="1260">
        <v>469</v>
      </c>
      <c r="C29" s="327"/>
      <c r="D29" s="327"/>
      <c r="E29" s="327"/>
      <c r="F29" s="327"/>
    </row>
    <row r="30" spans="1:6">
      <c r="A30" s="1253" t="s">
        <v>906</v>
      </c>
      <c r="B30" s="1261">
        <v>74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6</v>
      </c>
      <c r="D36" s="1259">
        <v>1069134.07097236</v>
      </c>
      <c r="E36" s="1259">
        <v>8</v>
      </c>
      <c r="F36" s="1259">
        <v>22613.2220821585</v>
      </c>
    </row>
    <row r="37" spans="1:6">
      <c r="A37" s="1258" t="s">
        <v>24</v>
      </c>
      <c r="B37" s="1258" t="s">
        <v>27</v>
      </c>
      <c r="C37" s="1259">
        <v>0</v>
      </c>
      <c r="D37" s="1259">
        <v>0</v>
      </c>
      <c r="E37" s="1259">
        <v>0</v>
      </c>
      <c r="F37" s="1259">
        <v>0</v>
      </c>
    </row>
    <row r="38" spans="1:6">
      <c r="A38" s="1258" t="s">
        <v>24</v>
      </c>
      <c r="B38" s="1258" t="s">
        <v>28</v>
      </c>
      <c r="C38" s="1259">
        <v>2</v>
      </c>
      <c r="D38" s="1259">
        <v>13434.3768868802</v>
      </c>
      <c r="E38" s="1259">
        <v>2</v>
      </c>
      <c r="F38" s="1259">
        <v>1882.9535291699001</v>
      </c>
    </row>
    <row r="39" spans="1:6">
      <c r="A39" s="1258" t="s">
        <v>29</v>
      </c>
      <c r="B39" s="1258" t="s">
        <v>30</v>
      </c>
      <c r="C39" s="1259">
        <v>21599</v>
      </c>
      <c r="D39" s="1259">
        <v>284948130.405788</v>
      </c>
      <c r="E39" s="1259">
        <v>30279</v>
      </c>
      <c r="F39" s="1259">
        <v>76510884.233906999</v>
      </c>
    </row>
    <row r="40" spans="1:6">
      <c r="A40" s="1258" t="s">
        <v>29</v>
      </c>
      <c r="B40" s="1258" t="s">
        <v>28</v>
      </c>
      <c r="C40" s="1259">
        <v>1</v>
      </c>
      <c r="D40" s="1259">
        <v>8554.3265770439994</v>
      </c>
      <c r="E40" s="1259">
        <v>1</v>
      </c>
      <c r="F40" s="1259">
        <v>1140.0246240524</v>
      </c>
    </row>
    <row r="41" spans="1:6">
      <c r="A41" s="1258" t="s">
        <v>31</v>
      </c>
      <c r="B41" s="1258" t="s">
        <v>32</v>
      </c>
      <c r="C41" s="1259">
        <v>473</v>
      </c>
      <c r="D41" s="1259">
        <v>7800703.9211761504</v>
      </c>
      <c r="E41" s="1259">
        <v>869</v>
      </c>
      <c r="F41" s="1259">
        <v>6160516.9842135301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37283.627623845197</v>
      </c>
      <c r="E44" s="1259">
        <v>20</v>
      </c>
      <c r="F44" s="1259">
        <v>199960.88980403499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5</v>
      </c>
      <c r="D47" s="1259">
        <v>190650.55491069201</v>
      </c>
      <c r="E47" s="1259">
        <v>7</v>
      </c>
      <c r="F47" s="1259">
        <v>67213.6642848349</v>
      </c>
    </row>
    <row r="48" spans="1:6">
      <c r="A48" s="1258" t="s">
        <v>31</v>
      </c>
      <c r="B48" s="1258" t="s">
        <v>28</v>
      </c>
      <c r="C48" s="1259">
        <v>59</v>
      </c>
      <c r="D48" s="1259">
        <v>1844448.5670060599</v>
      </c>
      <c r="E48" s="1259">
        <v>75</v>
      </c>
      <c r="F48" s="1259">
        <v>3914663.6251661601</v>
      </c>
    </row>
    <row r="49" spans="1:6">
      <c r="A49" s="1258" t="s">
        <v>31</v>
      </c>
      <c r="B49" s="1258" t="s">
        <v>39</v>
      </c>
      <c r="C49" s="1259">
        <v>4</v>
      </c>
      <c r="D49" s="1259">
        <v>85283.606817012405</v>
      </c>
      <c r="E49" s="1259">
        <v>9</v>
      </c>
      <c r="F49" s="1259">
        <v>120383.34163497201</v>
      </c>
    </row>
    <row r="50" spans="1:6">
      <c r="A50" s="1258" t="s">
        <v>31</v>
      </c>
      <c r="B50" s="1258" t="s">
        <v>40</v>
      </c>
      <c r="C50" s="1259">
        <v>38</v>
      </c>
      <c r="D50" s="1259">
        <v>2507107.4228416602</v>
      </c>
      <c r="E50" s="1259">
        <v>65</v>
      </c>
      <c r="F50" s="1259">
        <v>1877522.03788478</v>
      </c>
    </row>
    <row r="51" spans="1:6">
      <c r="A51" s="1258" t="s">
        <v>41</v>
      </c>
      <c r="B51" s="1258" t="s">
        <v>42</v>
      </c>
      <c r="C51" s="1259">
        <v>24</v>
      </c>
      <c r="D51" s="1259">
        <v>594630.544592313</v>
      </c>
      <c r="E51" s="1259">
        <v>112</v>
      </c>
      <c r="F51" s="1259">
        <v>1487802.3702098799</v>
      </c>
    </row>
    <row r="52" spans="1:6">
      <c r="A52" s="1258" t="s">
        <v>41</v>
      </c>
      <c r="B52" s="1258" t="s">
        <v>28</v>
      </c>
      <c r="C52" s="1259">
        <v>16</v>
      </c>
      <c r="D52" s="1259">
        <v>271843.069527418</v>
      </c>
      <c r="E52" s="1259">
        <v>16</v>
      </c>
      <c r="F52" s="1259">
        <v>184247.81147643999</v>
      </c>
    </row>
    <row r="53" spans="1:6">
      <c r="A53" s="1258" t="s">
        <v>43</v>
      </c>
      <c r="B53" s="1258" t="s">
        <v>44</v>
      </c>
      <c r="C53" s="1259">
        <v>2354</v>
      </c>
      <c r="D53" s="1259">
        <v>33667535.073461503</v>
      </c>
      <c r="E53" s="1259">
        <v>4372</v>
      </c>
      <c r="F53" s="1259">
        <v>13664262.6668984</v>
      </c>
    </row>
    <row r="54" spans="1:6">
      <c r="A54" s="1258" t="s">
        <v>45</v>
      </c>
      <c r="B54" s="1258" t="s">
        <v>46</v>
      </c>
      <c r="C54" s="1259">
        <v>0</v>
      </c>
      <c r="D54" s="1259">
        <v>0</v>
      </c>
      <c r="E54" s="1259">
        <v>1</v>
      </c>
      <c r="F54" s="1259">
        <v>3335106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155</v>
      </c>
      <c r="D57" s="1259">
        <v>6364953.5677392399</v>
      </c>
      <c r="E57" s="1259">
        <v>324</v>
      </c>
      <c r="F57" s="1259">
        <v>8587529.9061504304</v>
      </c>
    </row>
    <row r="58" spans="1:6">
      <c r="A58" s="1258" t="s">
        <v>48</v>
      </c>
      <c r="B58" s="1258" t="s">
        <v>50</v>
      </c>
      <c r="C58" s="1259">
        <v>147</v>
      </c>
      <c r="D58" s="1259">
        <v>4367578.8373002103</v>
      </c>
      <c r="E58" s="1259">
        <v>208</v>
      </c>
      <c r="F58" s="1259">
        <v>1430919.50355133</v>
      </c>
    </row>
    <row r="59" spans="1:6">
      <c r="A59" s="1258" t="s">
        <v>48</v>
      </c>
      <c r="B59" s="1258" t="s">
        <v>51</v>
      </c>
      <c r="C59" s="1259">
        <v>765</v>
      </c>
      <c r="D59" s="1259">
        <v>17035583.272414401</v>
      </c>
      <c r="E59" s="1259">
        <v>1494</v>
      </c>
      <c r="F59" s="1259">
        <v>30520807.307274301</v>
      </c>
    </row>
    <row r="60" spans="1:6">
      <c r="A60" s="1258" t="s">
        <v>48</v>
      </c>
      <c r="B60" s="1258" t="s">
        <v>52</v>
      </c>
      <c r="C60" s="1259">
        <v>381</v>
      </c>
      <c r="D60" s="1259">
        <v>23895179.994928099</v>
      </c>
      <c r="E60" s="1259">
        <v>526</v>
      </c>
      <c r="F60" s="1259">
        <v>17795386.487853799</v>
      </c>
    </row>
    <row r="61" spans="1:6">
      <c r="A61" s="1258" t="s">
        <v>48</v>
      </c>
      <c r="B61" s="1258" t="s">
        <v>53</v>
      </c>
      <c r="C61" s="1259">
        <v>1905</v>
      </c>
      <c r="D61" s="1259">
        <v>74458607.625756294</v>
      </c>
      <c r="E61" s="1259">
        <v>4651</v>
      </c>
      <c r="F61" s="1259">
        <v>28005883.9250089</v>
      </c>
    </row>
    <row r="62" spans="1:6">
      <c r="A62" s="1258" t="s">
        <v>48</v>
      </c>
      <c r="B62" s="1258" t="s">
        <v>54</v>
      </c>
      <c r="C62" s="1259">
        <v>26</v>
      </c>
      <c r="D62" s="1259">
        <v>2987177.07580279</v>
      </c>
      <c r="E62" s="1259">
        <v>26</v>
      </c>
      <c r="F62" s="1259">
        <v>481789.55456728401</v>
      </c>
    </row>
    <row r="63" spans="1:6">
      <c r="A63" s="1258" t="s">
        <v>48</v>
      </c>
      <c r="B63" s="1258" t="s">
        <v>28</v>
      </c>
      <c r="C63" s="1259">
        <v>188</v>
      </c>
      <c r="D63" s="1259">
        <v>9513823.6234595794</v>
      </c>
      <c r="E63" s="1259">
        <v>184</v>
      </c>
      <c r="F63" s="1259">
        <v>7644878.9584913701</v>
      </c>
    </row>
    <row r="64" spans="1:6">
      <c r="A64" s="1258" t="s">
        <v>55</v>
      </c>
      <c r="B64" s="1258" t="s">
        <v>56</v>
      </c>
      <c r="C64" s="1259">
        <v>3</v>
      </c>
      <c r="D64" s="1259">
        <v>142297.340972534</v>
      </c>
      <c r="E64" s="1259">
        <v>3</v>
      </c>
      <c r="F64" s="1259">
        <v>14414.0740968132</v>
      </c>
    </row>
    <row r="65" spans="1:6">
      <c r="A65" s="1258" t="s">
        <v>55</v>
      </c>
      <c r="B65" s="1258" t="s">
        <v>28</v>
      </c>
      <c r="C65" s="1259">
        <v>6</v>
      </c>
      <c r="D65" s="1259">
        <v>117692.21348603501</v>
      </c>
      <c r="E65" s="1259">
        <v>5</v>
      </c>
      <c r="F65" s="1259">
        <v>28593.7051345539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16</v>
      </c>
      <c r="D68" s="1261">
        <v>321885.83047016402</v>
      </c>
      <c r="E68" s="1261">
        <v>28</v>
      </c>
      <c r="F68" s="1261">
        <v>124111.040234521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120860574</v>
      </c>
      <c r="E73" s="446"/>
      <c r="F73" s="327"/>
    </row>
    <row r="74" spans="1:6">
      <c r="A74" s="1258" t="s">
        <v>63</v>
      </c>
      <c r="B74" s="1258" t="s">
        <v>681</v>
      </c>
      <c r="C74" s="1271" t="s">
        <v>682</v>
      </c>
      <c r="D74" s="1259">
        <v>12071859.280360378</v>
      </c>
      <c r="E74" s="446"/>
      <c r="F74" s="327"/>
    </row>
    <row r="75" spans="1:6">
      <c r="A75" s="1258" t="s">
        <v>64</v>
      </c>
      <c r="B75" s="1258" t="s">
        <v>679</v>
      </c>
      <c r="C75" s="1271" t="s">
        <v>683</v>
      </c>
      <c r="D75" s="1259">
        <v>32132667</v>
      </c>
      <c r="E75" s="446"/>
      <c r="F75" s="327"/>
    </row>
    <row r="76" spans="1:6">
      <c r="A76" s="1258" t="s">
        <v>64</v>
      </c>
      <c r="B76" s="1258" t="s">
        <v>681</v>
      </c>
      <c r="C76" s="1271" t="s">
        <v>684</v>
      </c>
      <c r="D76" s="1259">
        <v>1256108.2803603774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436443.43927924504</v>
      </c>
      <c r="C83" s="446"/>
      <c r="D83" s="327"/>
      <c r="E83" s="327"/>
      <c r="F83" s="327"/>
    </row>
    <row r="84" spans="1:6">
      <c r="A84" s="1253" t="s">
        <v>324</v>
      </c>
      <c r="B84" s="1261">
        <v>173760.81381236311</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2003.3817815859736</v>
      </c>
      <c r="C91" s="327"/>
      <c r="D91" s="327"/>
      <c r="E91" s="327"/>
      <c r="F91" s="327"/>
    </row>
    <row r="92" spans="1:6">
      <c r="A92" s="1253" t="s">
        <v>68</v>
      </c>
      <c r="B92" s="1254">
        <v>1043.0815158911569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9792</v>
      </c>
      <c r="C97" s="327"/>
      <c r="D97" s="327"/>
      <c r="E97" s="327"/>
      <c r="F97" s="327"/>
    </row>
    <row r="98" spans="1:6">
      <c r="A98" s="1258" t="s">
        <v>71</v>
      </c>
      <c r="B98" s="1259">
        <v>3</v>
      </c>
      <c r="C98" s="327"/>
      <c r="D98" s="327"/>
      <c r="E98" s="327"/>
      <c r="F98" s="327"/>
    </row>
    <row r="99" spans="1:6">
      <c r="A99" s="1258" t="s">
        <v>72</v>
      </c>
      <c r="B99" s="1259">
        <v>58</v>
      </c>
      <c r="C99" s="327"/>
      <c r="D99" s="327"/>
      <c r="E99" s="327"/>
      <c r="F99" s="327"/>
    </row>
    <row r="100" spans="1:6">
      <c r="A100" s="1258" t="s">
        <v>73</v>
      </c>
      <c r="B100" s="1259">
        <v>1420</v>
      </c>
      <c r="C100" s="327"/>
      <c r="D100" s="327"/>
      <c r="E100" s="327"/>
      <c r="F100" s="327"/>
    </row>
    <row r="101" spans="1:6">
      <c r="A101" s="1258" t="s">
        <v>74</v>
      </c>
      <c r="B101" s="1259">
        <v>56</v>
      </c>
      <c r="C101" s="327"/>
      <c r="D101" s="327"/>
      <c r="E101" s="327"/>
      <c r="F101" s="327"/>
    </row>
    <row r="102" spans="1:6">
      <c r="A102" s="1258" t="s">
        <v>75</v>
      </c>
      <c r="B102" s="1259">
        <v>435</v>
      </c>
      <c r="C102" s="327"/>
      <c r="D102" s="327"/>
      <c r="E102" s="327"/>
      <c r="F102" s="327"/>
    </row>
    <row r="103" spans="1:6">
      <c r="A103" s="1258" t="s">
        <v>76</v>
      </c>
      <c r="B103" s="1259">
        <v>92</v>
      </c>
      <c r="C103" s="327"/>
      <c r="D103" s="327"/>
      <c r="E103" s="327"/>
      <c r="F103" s="327"/>
    </row>
    <row r="104" spans="1:6">
      <c r="A104" s="1258" t="s">
        <v>77</v>
      </c>
      <c r="B104" s="1259">
        <v>3205</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7</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70</v>
      </c>
      <c r="C129" s="327"/>
      <c r="D129" s="327"/>
      <c r="E129" s="327"/>
      <c r="F129" s="327"/>
    </row>
    <row r="130" spans="1:6">
      <c r="A130" s="1258" t="s">
        <v>284</v>
      </c>
      <c r="B130" s="1259">
        <v>0</v>
      </c>
      <c r="C130" s="327"/>
      <c r="D130" s="327"/>
      <c r="E130" s="327"/>
      <c r="F130" s="327"/>
    </row>
    <row r="131" spans="1:6">
      <c r="A131" s="1258" t="s">
        <v>285</v>
      </c>
      <c r="B131" s="1259">
        <v>4</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204626.35004242643</v>
      </c>
      <c r="C3" s="43" t="s">
        <v>163</v>
      </c>
      <c r="D3" s="43"/>
      <c r="E3" s="156"/>
      <c r="F3" s="43"/>
      <c r="G3" s="43"/>
      <c r="H3" s="43"/>
      <c r="I3" s="43"/>
      <c r="J3" s="43"/>
      <c r="K3" s="96"/>
    </row>
    <row r="4" spans="1:11">
      <c r="A4" s="353" t="s">
        <v>164</v>
      </c>
      <c r="B4" s="49">
        <f>IF(ISERROR('SEAP template'!B78+'SEAP template'!C78),0,'SEAP template'!B78+'SEAP template'!C78)</f>
        <v>3046.4632974771303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0.21770976690634977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3335.1060000000002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3335.1060000000002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0.21770976690634977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726.08514986796865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76512.024258531048</v>
      </c>
      <c r="C5" s="17">
        <f>IF(ISERROR('Eigen informatie GS &amp; warmtenet'!B57),0,'Eigen informatie GS &amp; warmtenet'!B57)</f>
        <v>0</v>
      </c>
      <c r="D5" s="30">
        <f>(SUM(HH_hh_gas_kWh,HH_rest_gas_kWh)/1000)*0.902</f>
        <v>257030.92962859329</v>
      </c>
      <c r="E5" s="17">
        <f>B32*B41</f>
        <v>0</v>
      </c>
      <c r="F5" s="17">
        <f>B36*B45</f>
        <v>0</v>
      </c>
      <c r="G5" s="18"/>
      <c r="H5" s="17"/>
      <c r="I5" s="17"/>
      <c r="J5" s="17">
        <f>B35*B44+C35*C44</f>
        <v>0</v>
      </c>
      <c r="K5" s="17"/>
      <c r="L5" s="17"/>
      <c r="M5" s="17"/>
      <c r="N5" s="17">
        <f>B34*B43+C34*C43</f>
        <v>23027.867120011277</v>
      </c>
      <c r="O5" s="17">
        <f>B52*B53*B54</f>
        <v>120.37666666666668</v>
      </c>
      <c r="P5" s="17">
        <f>B60*B61*B62/1000-B60*B61*B62/1000/B63</f>
        <v>228.8</v>
      </c>
    </row>
    <row r="6" spans="1:16">
      <c r="A6" s="16" t="s">
        <v>592</v>
      </c>
      <c r="B6" s="733">
        <f>kWh_PV_kleiner_dan_10kW</f>
        <v>2003.3817815859736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78515.406040117028</v>
      </c>
      <c r="C8" s="21">
        <f>C5</f>
        <v>0</v>
      </c>
      <c r="D8" s="21">
        <f>D5</f>
        <v>257030.92962859329</v>
      </c>
      <c r="E8" s="21">
        <f>E5</f>
        <v>0</v>
      </c>
      <c r="F8" s="21">
        <f>F5</f>
        <v>0</v>
      </c>
      <c r="G8" s="21"/>
      <c r="H8" s="21"/>
      <c r="I8" s="21"/>
      <c r="J8" s="21">
        <f>J5</f>
        <v>0</v>
      </c>
      <c r="K8" s="21"/>
      <c r="L8" s="21">
        <f>L5</f>
        <v>0</v>
      </c>
      <c r="M8" s="21">
        <f>M5</f>
        <v>0</v>
      </c>
      <c r="N8" s="21">
        <f>N5</f>
        <v>23027.867120011277</v>
      </c>
      <c r="O8" s="21">
        <f>O5</f>
        <v>120.37666666666668</v>
      </c>
      <c r="P8" s="21">
        <f>P5</f>
        <v>228.8</v>
      </c>
    </row>
    <row r="9" spans="1:16">
      <c r="B9" s="19"/>
      <c r="C9" s="19"/>
      <c r="D9" s="257"/>
      <c r="E9" s="19"/>
      <c r="F9" s="19"/>
      <c r="G9" s="19"/>
      <c r="H9" s="19"/>
      <c r="I9" s="19"/>
      <c r="J9" s="19"/>
      <c r="K9" s="19"/>
      <c r="L9" s="19"/>
      <c r="M9" s="19"/>
      <c r="N9" s="19"/>
      <c r="O9" s="19"/>
      <c r="P9" s="19"/>
    </row>
    <row r="10" spans="1:16">
      <c r="A10" s="24" t="s">
        <v>207</v>
      </c>
      <c r="B10" s="25">
        <f ca="1">'EF ele_warmte'!B12</f>
        <v>0.21770976690634977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17093.570747551286</v>
      </c>
      <c r="C12" s="23">
        <f ca="1">C10*C8</f>
        <v>0</v>
      </c>
      <c r="D12" s="23">
        <f>D8*D10</f>
        <v>51920.247784975851</v>
      </c>
      <c r="E12" s="23">
        <f>E10*E8</f>
        <v>0</v>
      </c>
      <c r="F12" s="23">
        <f>F10*F8</f>
        <v>0</v>
      </c>
      <c r="G12" s="23"/>
      <c r="H12" s="23"/>
      <c r="I12" s="23"/>
      <c r="J12" s="23">
        <f>J10*J8</f>
        <v>0</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16757</v>
      </c>
      <c r="C26" s="36"/>
      <c r="D26" s="227"/>
    </row>
    <row r="27" spans="1:5" s="15" customFormat="1">
      <c r="A27" s="229" t="s">
        <v>697</v>
      </c>
      <c r="B27" s="37">
        <f>SUM(HH_hh_gas_aantal,HH_rest_gas_aantal)</f>
        <v>21600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20520</v>
      </c>
      <c r="C31" s="34" t="s">
        <v>104</v>
      </c>
      <c r="D31" s="173"/>
    </row>
    <row r="32" spans="1:5">
      <c r="A32" s="170" t="s">
        <v>72</v>
      </c>
      <c r="B32" s="33">
        <f>IF((B21*($B$26-($B$27-0.05*$B$27)-$B$60))&lt;0,0,B21*($B$26-($B$27-0.05*$B$27)-$B$60))</f>
        <v>0</v>
      </c>
      <c r="C32" s="34" t="s">
        <v>104</v>
      </c>
      <c r="D32" s="173"/>
    </row>
    <row r="33" spans="1:6">
      <c r="A33" s="170" t="s">
        <v>73</v>
      </c>
      <c r="B33" s="33">
        <f>IF((B22*($B$26-($B$27-0.05*$B$27)-$B$60))&lt;0,0,B22*($B$26-($B$27-0.05*$B$27)-$B$60))</f>
        <v>0</v>
      </c>
      <c r="C33" s="34" t="s">
        <v>104</v>
      </c>
      <c r="D33" s="173"/>
    </row>
    <row r="34" spans="1:6">
      <c r="A34" s="170" t="s">
        <v>74</v>
      </c>
      <c r="B34" s="33">
        <f>IF((B24*($B$26-($B$27-0.05*$B$27)-$B$60))&lt;0,0,B24*($B$26-($B$27-0.05*$B$27)-$B$60))</f>
        <v>0</v>
      </c>
      <c r="C34" s="33">
        <f>B26*C24</f>
        <v>3427.8130532554478</v>
      </c>
      <c r="D34" s="232"/>
    </row>
    <row r="35" spans="1:6">
      <c r="A35" s="170" t="s">
        <v>76</v>
      </c>
      <c r="B35" s="33">
        <f>IF((B19*($B$26-($B$27-0.05*$B$27)-$B$60))&lt;0,0,B19*($B$26-($B$27-0.05*$B$27)-$B$60))</f>
        <v>0</v>
      </c>
      <c r="C35" s="33">
        <f>B35/2</f>
        <v>0</v>
      </c>
      <c r="D35" s="232"/>
    </row>
    <row r="36" spans="1:6">
      <c r="A36" s="170" t="s">
        <v>77</v>
      </c>
      <c r="B36" s="33">
        <f>IF((B18*($B$26-($B$27-0.05*$B$27)-$B$60))&lt;0,0,B18*($B$26-($B$27-0.05*$B$27)-$B$60))</f>
        <v>0</v>
      </c>
      <c r="C36" s="34" t="s">
        <v>104</v>
      </c>
      <c r="D36" s="173"/>
    </row>
    <row r="37" spans="1:6">
      <c r="A37" s="170" t="s">
        <v>78</v>
      </c>
      <c r="B37" s="33">
        <f>B60</f>
        <v>12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94467.195642897408</v>
      </c>
      <c r="C5" s="17">
        <f>IF(ISERROR('Eigen informatie GS &amp; warmtenet'!B58),0,'Eigen informatie GS &amp; warmtenet'!B58)</f>
        <v>0</v>
      </c>
      <c r="D5" s="30">
        <f>SUM(D6:D12)</f>
        <v>125037.85940565536</v>
      </c>
      <c r="E5" s="17">
        <f>SUM(E6:E12)</f>
        <v>656.26445477550885</v>
      </c>
      <c r="F5" s="17">
        <f>SUM(F6:F12)</f>
        <v>13100.979164675662</v>
      </c>
      <c r="G5" s="18"/>
      <c r="H5" s="17"/>
      <c r="I5" s="17"/>
      <c r="J5" s="17">
        <f>SUM(J6:J12)</f>
        <v>82.63630908710492</v>
      </c>
      <c r="K5" s="17"/>
      <c r="L5" s="17"/>
      <c r="M5" s="17"/>
      <c r="N5" s="17">
        <f>SUM(N6:N12)</f>
        <v>6006.8964104056995</v>
      </c>
      <c r="O5" s="17">
        <f>B38*B39*B40</f>
        <v>0</v>
      </c>
      <c r="P5" s="17">
        <f>B46*B47*B48/1000-B46*B47*B48/1000/B49</f>
        <v>76.266666666666666</v>
      </c>
      <c r="R5" s="32"/>
    </row>
    <row r="6" spans="1:18">
      <c r="A6" s="32" t="s">
        <v>53</v>
      </c>
      <c r="B6" s="37">
        <f>B26</f>
        <v>28005.8839250089</v>
      </c>
      <c r="C6" s="33"/>
      <c r="D6" s="37">
        <f>IF(ISERROR(TER_kantoor_gas_kWh/1000),0,TER_kantoor_gas_kWh/1000)*0.902</f>
        <v>67161.664078432179</v>
      </c>
      <c r="E6" s="33">
        <f>$C$26*'E Balans VL '!I12/100/3.6*1000000</f>
        <v>236.39408680326946</v>
      </c>
      <c r="F6" s="33">
        <f>$C$26*('E Balans VL '!L12+'E Balans VL '!N12)/100/3.6*1000000</f>
        <v>3755.2789507972197</v>
      </c>
      <c r="G6" s="34"/>
      <c r="H6" s="33"/>
      <c r="I6" s="33"/>
      <c r="J6" s="33">
        <f>$C$26*('E Balans VL '!D12+'E Balans VL '!E12)/100/3.6*1000000</f>
        <v>0</v>
      </c>
      <c r="K6" s="33"/>
      <c r="L6" s="33"/>
      <c r="M6" s="33"/>
      <c r="N6" s="33">
        <f>$C$26*'E Balans VL '!Y12/100/3.6*1000000</f>
        <v>246.3030874510662</v>
      </c>
      <c r="O6" s="33"/>
      <c r="P6" s="33"/>
      <c r="R6" s="32"/>
    </row>
    <row r="7" spans="1:18">
      <c r="A7" s="32" t="s">
        <v>52</v>
      </c>
      <c r="B7" s="37">
        <f t="shared" ref="B7:B12" si="0">B27</f>
        <v>17795.386487853801</v>
      </c>
      <c r="C7" s="33"/>
      <c r="D7" s="37">
        <f>IF(ISERROR(TER_horeca_gas_kWh/1000),0,TER_horeca_gas_kWh/1000)*0.902</f>
        <v>21553.452355425146</v>
      </c>
      <c r="E7" s="33">
        <f>$C$27*'E Balans VL '!I9/100/3.6*1000000</f>
        <v>233.97380514207654</v>
      </c>
      <c r="F7" s="33">
        <f>$C$27*('E Balans VL '!L9+'E Balans VL '!N9)/100/3.6*1000000</f>
        <v>4469.08616425742</v>
      </c>
      <c r="G7" s="34"/>
      <c r="H7" s="33"/>
      <c r="I7" s="33"/>
      <c r="J7" s="33">
        <f>$C$27*('E Balans VL '!D9+'E Balans VL '!E9)/100/3.6*1000000</f>
        <v>0</v>
      </c>
      <c r="K7" s="33"/>
      <c r="L7" s="33"/>
      <c r="M7" s="33"/>
      <c r="N7" s="33">
        <f>$C$27*'E Balans VL '!Y9/100/3.6*1000000</f>
        <v>4.8445755351451938</v>
      </c>
      <c r="O7" s="33"/>
      <c r="P7" s="33"/>
      <c r="R7" s="32"/>
    </row>
    <row r="8" spans="1:18">
      <c r="A8" s="6" t="s">
        <v>51</v>
      </c>
      <c r="B8" s="37">
        <f t="shared" si="0"/>
        <v>30520.807307274299</v>
      </c>
      <c r="C8" s="33"/>
      <c r="D8" s="37">
        <f>IF(ISERROR(TER_handel_gas_kWh/1000),0,TER_handel_gas_kWh/1000)*0.902</f>
        <v>15366.09611171779</v>
      </c>
      <c r="E8" s="33">
        <f>$C$28*'E Balans VL '!I13/100/3.6*1000000</f>
        <v>133.66184285877455</v>
      </c>
      <c r="F8" s="33">
        <f>$C$28*('E Balans VL '!L13+'E Balans VL '!N13)/100/3.6*1000000</f>
        <v>2051.4445183583912</v>
      </c>
      <c r="G8" s="34"/>
      <c r="H8" s="33"/>
      <c r="I8" s="33"/>
      <c r="J8" s="33">
        <f>$C$28*('E Balans VL '!D13+'E Balans VL '!E13)/100/3.6*1000000</f>
        <v>0</v>
      </c>
      <c r="K8" s="33"/>
      <c r="L8" s="33"/>
      <c r="M8" s="33"/>
      <c r="N8" s="33">
        <f>$C$28*'E Balans VL '!Y13/100/3.6*1000000</f>
        <v>90.166256087018368</v>
      </c>
      <c r="O8" s="33"/>
      <c r="P8" s="33"/>
      <c r="R8" s="32"/>
    </row>
    <row r="9" spans="1:18">
      <c r="A9" s="32" t="s">
        <v>50</v>
      </c>
      <c r="B9" s="37">
        <f t="shared" si="0"/>
        <v>1430.9195035513299</v>
      </c>
      <c r="C9" s="33"/>
      <c r="D9" s="37">
        <f>IF(ISERROR(TER_gezond_gas_kWh/1000),0,TER_gezond_gas_kWh/1000)*0.902</f>
        <v>3939.5561112447899</v>
      </c>
      <c r="E9" s="33">
        <f>$C$29*'E Balans VL '!I10/100/3.6*1000000</f>
        <v>0.49209953483067992</v>
      </c>
      <c r="F9" s="33">
        <f>$C$29*('E Balans VL '!L10+'E Balans VL '!N10)/100/3.6*1000000</f>
        <v>125.06800072088932</v>
      </c>
      <c r="G9" s="34"/>
      <c r="H9" s="33"/>
      <c r="I9" s="33"/>
      <c r="J9" s="33">
        <f>$C$29*('E Balans VL '!D10+'E Balans VL '!E10)/100/3.6*1000000</f>
        <v>59.355768144750677</v>
      </c>
      <c r="K9" s="33"/>
      <c r="L9" s="33"/>
      <c r="M9" s="33"/>
      <c r="N9" s="33">
        <f>$C$29*'E Balans VL '!Y10/100/3.6*1000000</f>
        <v>15.002662216383976</v>
      </c>
      <c r="O9" s="33"/>
      <c r="P9" s="33"/>
      <c r="R9" s="32"/>
    </row>
    <row r="10" spans="1:18">
      <c r="A10" s="32" t="s">
        <v>49</v>
      </c>
      <c r="B10" s="37">
        <f t="shared" si="0"/>
        <v>8587.5299061504302</v>
      </c>
      <c r="C10" s="33"/>
      <c r="D10" s="37">
        <f>IF(ISERROR(TER_ander_gas_kWh/1000),0,TER_ander_gas_kWh/1000)*0.902</f>
        <v>5741.1881181007939</v>
      </c>
      <c r="E10" s="33">
        <f>$C$30*'E Balans VL '!I14/100/3.6*1000000</f>
        <v>5.1073173758687389</v>
      </c>
      <c r="F10" s="33">
        <f>$C$30*('E Balans VL '!L14+'E Balans VL '!N14)/100/3.6*1000000</f>
        <v>1520.4491258552503</v>
      </c>
      <c r="G10" s="34"/>
      <c r="H10" s="33"/>
      <c r="I10" s="33"/>
      <c r="J10" s="33">
        <f>$C$30*('E Balans VL '!D14+'E Balans VL '!E14)/100/3.6*1000000</f>
        <v>0</v>
      </c>
      <c r="K10" s="33"/>
      <c r="L10" s="33"/>
      <c r="M10" s="33"/>
      <c r="N10" s="33">
        <f>$C$30*'E Balans VL '!Y14/100/3.6*1000000</f>
        <v>5098.9825038556746</v>
      </c>
      <c r="O10" s="33"/>
      <c r="P10" s="33"/>
      <c r="R10" s="32"/>
    </row>
    <row r="11" spans="1:18">
      <c r="A11" s="32" t="s">
        <v>54</v>
      </c>
      <c r="B11" s="37">
        <f t="shared" si="0"/>
        <v>481.78955456728403</v>
      </c>
      <c r="C11" s="33"/>
      <c r="D11" s="37">
        <f>IF(ISERROR(TER_onderwijs_gas_kWh/1000),0,TER_onderwijs_gas_kWh/1000)*0.902</f>
        <v>2694.4337223741168</v>
      </c>
      <c r="E11" s="33">
        <f>$C$31*'E Balans VL '!I11/100/3.6*1000000</f>
        <v>0.3204628151481303</v>
      </c>
      <c r="F11" s="33">
        <f>$C$31*('E Balans VL '!L11+'E Balans VL '!N11)/100/3.6*1000000</f>
        <v>154.35598570381953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7644.8789584913702</v>
      </c>
      <c r="C12" s="33"/>
      <c r="D12" s="37">
        <f>IF(ISERROR(TER_rest_gas_kWh/1000),0,TER_rest_gas_kWh/1000)*0.902</f>
        <v>8581.4689083605408</v>
      </c>
      <c r="E12" s="33">
        <f>$C$32*'E Balans VL '!I8/100/3.6*1000000</f>
        <v>46.31484024554063</v>
      </c>
      <c r="F12" s="33">
        <f>$C$32*('E Balans VL '!L8+'E Balans VL '!N8)/100/3.6*1000000</f>
        <v>1025.2964189826719</v>
      </c>
      <c r="G12" s="34"/>
      <c r="H12" s="33"/>
      <c r="I12" s="33"/>
      <c r="J12" s="33">
        <f>$C$32*('E Balans VL '!D8+'E Balans VL '!E8)/100/3.6*1000000</f>
        <v>23.280540942354246</v>
      </c>
      <c r="K12" s="33"/>
      <c r="L12" s="33"/>
      <c r="M12" s="33"/>
      <c r="N12" s="33">
        <f>$C$32*'E Balans VL '!Y8/100/3.6*1000000</f>
        <v>551.59732526041103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94467.195642897408</v>
      </c>
      <c r="C16" s="21">
        <f t="shared" ca="1" si="1"/>
        <v>0</v>
      </c>
      <c r="D16" s="21">
        <f t="shared" ca="1" si="1"/>
        <v>125037.85940565536</v>
      </c>
      <c r="E16" s="21">
        <f t="shared" si="1"/>
        <v>656.26445477550885</v>
      </c>
      <c r="F16" s="21">
        <f t="shared" ca="1" si="1"/>
        <v>13100.979164675662</v>
      </c>
      <c r="G16" s="21">
        <f t="shared" si="1"/>
        <v>0</v>
      </c>
      <c r="H16" s="21">
        <f t="shared" si="1"/>
        <v>0</v>
      </c>
      <c r="I16" s="21">
        <f t="shared" si="1"/>
        <v>0</v>
      </c>
      <c r="J16" s="21">
        <f t="shared" si="1"/>
        <v>82.63630908710492</v>
      </c>
      <c r="K16" s="21">
        <f t="shared" si="1"/>
        <v>0</v>
      </c>
      <c r="L16" s="21">
        <f t="shared" ca="1" si="1"/>
        <v>0</v>
      </c>
      <c r="M16" s="21">
        <f t="shared" si="1"/>
        <v>0</v>
      </c>
      <c r="N16" s="21">
        <f t="shared" ca="1" si="1"/>
        <v>6006.8964104056995</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0.21770976690634977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20566.431143711736</v>
      </c>
      <c r="C20" s="23">
        <f t="shared" ref="C20:P20" ca="1" si="2">C16*C18</f>
        <v>0</v>
      </c>
      <c r="D20" s="23">
        <f t="shared" ca="1" si="2"/>
        <v>25257.647599942382</v>
      </c>
      <c r="E20" s="23">
        <f t="shared" si="2"/>
        <v>148.97203123404051</v>
      </c>
      <c r="F20" s="23">
        <f t="shared" ca="1" si="2"/>
        <v>3497.9614369684018</v>
      </c>
      <c r="G20" s="23">
        <f t="shared" si="2"/>
        <v>0</v>
      </c>
      <c r="H20" s="23">
        <f t="shared" si="2"/>
        <v>0</v>
      </c>
      <c r="I20" s="23">
        <f t="shared" si="2"/>
        <v>0</v>
      </c>
      <c r="J20" s="23">
        <f t="shared" si="2"/>
        <v>29.25325341683514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28005.8839250089</v>
      </c>
      <c r="C26" s="39">
        <f>IF(ISERROR(B26*3.6/1000000/'E Balans VL '!Z12*100),0,B26*3.6/1000000/'E Balans VL '!Z12*100)</f>
        <v>0.58696855891583244</v>
      </c>
      <c r="D26" s="235" t="s">
        <v>647</v>
      </c>
      <c r="F26" s="6"/>
    </row>
    <row r="27" spans="1:18">
      <c r="A27" s="230" t="s">
        <v>52</v>
      </c>
      <c r="B27" s="33">
        <f>IF(ISERROR(TER_horeca_ele_kWh/1000),0,TER_horeca_ele_kWh/1000)</f>
        <v>17795.386487853801</v>
      </c>
      <c r="C27" s="39">
        <f>IF(ISERROR(B27*3.6/1000000/'E Balans VL '!Z9*100),0,B27*3.6/1000000/'E Balans VL '!Z9*100)</f>
        <v>1.3643692199615876</v>
      </c>
      <c r="D27" s="235" t="s">
        <v>647</v>
      </c>
      <c r="F27" s="6"/>
    </row>
    <row r="28" spans="1:18">
      <c r="A28" s="170" t="s">
        <v>51</v>
      </c>
      <c r="B28" s="33">
        <f>IF(ISERROR(TER_handel_ele_kWh/1000),0,TER_handel_ele_kWh/1000)</f>
        <v>30520.807307274299</v>
      </c>
      <c r="C28" s="39">
        <f>IF(ISERROR(B28*3.6/1000000/'E Balans VL '!Z13*100),0,B28*3.6/1000000/'E Balans VL '!Z13*100)</f>
        <v>0.86103699903353448</v>
      </c>
      <c r="D28" s="235" t="s">
        <v>647</v>
      </c>
      <c r="F28" s="6"/>
    </row>
    <row r="29" spans="1:18">
      <c r="A29" s="230" t="s">
        <v>50</v>
      </c>
      <c r="B29" s="33">
        <f>IF(ISERROR(TER_gezond_ele_kWh/1000),0,TER_gezond_ele_kWh/1000)</f>
        <v>1430.9195035513299</v>
      </c>
      <c r="C29" s="39">
        <f>IF(ISERROR(B29*3.6/1000000/'E Balans VL '!Z10*100),0,B29*3.6/1000000/'E Balans VL '!Z10*100)</f>
        <v>0.15888581448102973</v>
      </c>
      <c r="D29" s="235" t="s">
        <v>647</v>
      </c>
      <c r="F29" s="6"/>
    </row>
    <row r="30" spans="1:18">
      <c r="A30" s="230" t="s">
        <v>49</v>
      </c>
      <c r="B30" s="33">
        <f>IF(ISERROR(TER_ander_ele_kWh/1000),0,TER_ander_ele_kWh/1000)</f>
        <v>8587.5299061504302</v>
      </c>
      <c r="C30" s="39">
        <f>IF(ISERROR(B30*3.6/1000000/'E Balans VL '!Z14*100),0,B30*3.6/1000000/'E Balans VL '!Z14*100)</f>
        <v>0.61963690989906473</v>
      </c>
      <c r="D30" s="235" t="s">
        <v>647</v>
      </c>
      <c r="F30" s="6"/>
    </row>
    <row r="31" spans="1:18">
      <c r="A31" s="230" t="s">
        <v>54</v>
      </c>
      <c r="B31" s="33">
        <f>IF(ISERROR(TER_onderwijs_ele_kWh/1000),0,TER_onderwijs_ele_kWh/1000)</f>
        <v>481.78955456728403</v>
      </c>
      <c r="C31" s="39">
        <f>IF(ISERROR(B31*3.6/1000000/'E Balans VL '!Z11*100),0,B31*3.6/1000000/'E Balans VL '!Z11*100)</f>
        <v>0.13354824822083156</v>
      </c>
      <c r="D31" s="235" t="s">
        <v>647</v>
      </c>
    </row>
    <row r="32" spans="1:18">
      <c r="A32" s="230" t="s">
        <v>249</v>
      </c>
      <c r="B32" s="33">
        <f>IF(ISERROR(TER_rest_ele_kWh/1000),0,TER_rest_ele_kWh/1000)</f>
        <v>7644.8789584913702</v>
      </c>
      <c r="C32" s="39">
        <f>IF(ISERROR(B32*3.6/1000000/'E Balans VL '!Z8*100),0,B32*3.6/1000000/'E Balans VL '!Z8*100)</f>
        <v>6.2318251870050856E-2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4</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12340.260542988311</v>
      </c>
      <c r="C5" s="17">
        <f>IF(ISERROR('Eigen informatie GS &amp; warmtenet'!B59),0,'Eigen informatie GS &amp; warmtenet'!B59)</f>
        <v>0</v>
      </c>
      <c r="D5" s="30">
        <f>SUM(D6:D15)</f>
        <v>11243.860885738632</v>
      </c>
      <c r="E5" s="17">
        <f>SUM(E6:E15)</f>
        <v>2045.4990655995487</v>
      </c>
      <c r="F5" s="17">
        <f>SUM(F6:F15)</f>
        <v>7884.1050634467638</v>
      </c>
      <c r="G5" s="18"/>
      <c r="H5" s="17"/>
      <c r="I5" s="17"/>
      <c r="J5" s="17">
        <f>SUM(J6:J15)</f>
        <v>10.05836638728705</v>
      </c>
      <c r="K5" s="17"/>
      <c r="L5" s="17"/>
      <c r="M5" s="17"/>
      <c r="N5" s="17">
        <f>SUM(N6:N15)</f>
        <v>1272.4479485549959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199.96088980403499</v>
      </c>
      <c r="C8" s="33"/>
      <c r="D8" s="37">
        <f>IF( ISERROR(IND_metaal_Gas_kWH/1000),0,IND_metaal_Gas_kWH/1000)*0.902</f>
        <v>33.629832116708371</v>
      </c>
      <c r="E8" s="33">
        <f>C30*'E Balans VL '!I18/100/3.6*1000000</f>
        <v>5.7436273162744556</v>
      </c>
      <c r="F8" s="33">
        <f>C30*'E Balans VL '!L18/100/3.6*1000000+C30*'E Balans VL '!N18/100/3.6*1000000</f>
        <v>51.286122434139102</v>
      </c>
      <c r="G8" s="34"/>
      <c r="H8" s="33"/>
      <c r="I8" s="33"/>
      <c r="J8" s="40">
        <f>C30*'E Balans VL '!D18/100/3.6*1000000+C30*'E Balans VL '!E18/100/3.6*1000000</f>
        <v>0</v>
      </c>
      <c r="K8" s="33"/>
      <c r="L8" s="33"/>
      <c r="M8" s="33"/>
      <c r="N8" s="33">
        <f>C30*'E Balans VL '!Y18/100/3.6*1000000</f>
        <v>5.4293463361853691</v>
      </c>
      <c r="O8" s="33"/>
      <c r="P8" s="33"/>
      <c r="R8" s="32"/>
    </row>
    <row r="9" spans="1:18">
      <c r="A9" s="6" t="s">
        <v>32</v>
      </c>
      <c r="B9" s="37">
        <f t="shared" si="0"/>
        <v>6160.5169842135301</v>
      </c>
      <c r="C9" s="33"/>
      <c r="D9" s="37">
        <f>IF( ISERROR(IND_andere_gas_kWh/1000),0,IND_andere_gas_kWh/1000)*0.902</f>
        <v>7036.234936900888</v>
      </c>
      <c r="E9" s="33">
        <f>C31*'E Balans VL '!I19/100/3.6*1000000</f>
        <v>1667.5004787463449</v>
      </c>
      <c r="F9" s="33">
        <f>C31*'E Balans VL '!L19/100/3.6*1000000+C31*'E Balans VL '!N19/100/3.6*1000000</f>
        <v>4103.5562303626384</v>
      </c>
      <c r="G9" s="34"/>
      <c r="H9" s="33"/>
      <c r="I9" s="33"/>
      <c r="J9" s="40">
        <f>C31*'E Balans VL '!D19/100/3.6*1000000+C31*'E Balans VL '!E19/100/3.6*1000000</f>
        <v>0</v>
      </c>
      <c r="K9" s="33"/>
      <c r="L9" s="33"/>
      <c r="M9" s="33"/>
      <c r="N9" s="33">
        <f>C31*'E Balans VL '!Y19/100/3.6*1000000</f>
        <v>520.83090225034061</v>
      </c>
      <c r="O9" s="33"/>
      <c r="P9" s="33"/>
      <c r="R9" s="32"/>
    </row>
    <row r="10" spans="1:18">
      <c r="A10" s="6" t="s">
        <v>40</v>
      </c>
      <c r="B10" s="37">
        <f t="shared" si="0"/>
        <v>1877.52203788478</v>
      </c>
      <c r="C10" s="33"/>
      <c r="D10" s="37">
        <f>IF( ISERROR(IND_voed_gas_kWh/1000),0,IND_voed_gas_kWh/1000)*0.902</f>
        <v>2261.4108954031776</v>
      </c>
      <c r="E10" s="33">
        <f>C32*'E Balans VL '!I20/100/3.6*1000000</f>
        <v>153.13501090452175</v>
      </c>
      <c r="F10" s="33">
        <f>C32*'E Balans VL '!L20/100/3.6*1000000+C32*'E Balans VL '!N20/100/3.6*1000000</f>
        <v>2799.5557022112207</v>
      </c>
      <c r="G10" s="34"/>
      <c r="H10" s="33"/>
      <c r="I10" s="33"/>
      <c r="J10" s="40">
        <f>C32*'E Balans VL '!D20/100/3.6*1000000+C32*'E Balans VL '!E20/100/3.6*1000000</f>
        <v>2.4837337555191696E-2</v>
      </c>
      <c r="K10" s="33"/>
      <c r="L10" s="33"/>
      <c r="M10" s="33"/>
      <c r="N10" s="33">
        <f>C32*'E Balans VL '!Y20/100/3.6*1000000</f>
        <v>551.54972412149277</v>
      </c>
      <c r="O10" s="33"/>
      <c r="P10" s="33"/>
      <c r="R10" s="32"/>
    </row>
    <row r="11" spans="1:18">
      <c r="A11" s="6" t="s">
        <v>39</v>
      </c>
      <c r="B11" s="37">
        <f t="shared" si="0"/>
        <v>120.38334163497201</v>
      </c>
      <c r="C11" s="33"/>
      <c r="D11" s="37">
        <f>IF( ISERROR(IND_textiel_gas_kWh/1000),0,IND_textiel_gas_kWh/1000)*0.902</f>
        <v>76.925813348945198</v>
      </c>
      <c r="E11" s="33">
        <f>C33*'E Balans VL '!I21/100/3.6*1000000</f>
        <v>2.3862441320279662E-2</v>
      </c>
      <c r="F11" s="33">
        <f>C33*'E Balans VL '!L21/100/3.6*1000000+C33*'E Balans VL '!N21/100/3.6*1000000</f>
        <v>4.4338637153813645</v>
      </c>
      <c r="G11" s="34"/>
      <c r="H11" s="33"/>
      <c r="I11" s="33"/>
      <c r="J11" s="40">
        <f>C33*'E Balans VL '!D21/100/3.6*1000000+C33*'E Balans VL '!E21/100/3.6*1000000</f>
        <v>0</v>
      </c>
      <c r="K11" s="33"/>
      <c r="L11" s="33"/>
      <c r="M11" s="33"/>
      <c r="N11" s="33">
        <f>C33*'E Balans VL '!Y21/100/3.6*1000000</f>
        <v>0.55975214880955027</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67.213664284834906</v>
      </c>
      <c r="C13" s="33"/>
      <c r="D13" s="37">
        <f>IF( ISERROR(IND_papier_gas_kWh/1000),0,IND_papier_gas_kWh/1000)*0.902</f>
        <v>171.96680052944419</v>
      </c>
      <c r="E13" s="33">
        <f>C35*'E Balans VL '!I23/100/3.6*1000000</f>
        <v>0.70418558173634449</v>
      </c>
      <c r="F13" s="33">
        <f>C35*'E Balans VL '!L23/100/3.6*1000000+C35*'E Balans VL '!N23/100/3.6*1000000</f>
        <v>5.015495542289738</v>
      </c>
      <c r="G13" s="34"/>
      <c r="H13" s="33"/>
      <c r="I13" s="33"/>
      <c r="J13" s="40">
        <f>C35*'E Balans VL '!D23/100/3.6*1000000+C35*'E Balans VL '!E23/100/3.6*1000000</f>
        <v>0</v>
      </c>
      <c r="K13" s="33"/>
      <c r="L13" s="33"/>
      <c r="M13" s="33"/>
      <c r="N13" s="33">
        <f>C35*'E Balans VL '!Y23/100/3.6*1000000</f>
        <v>12.399467734342361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3914.6636251661603</v>
      </c>
      <c r="C15" s="33"/>
      <c r="D15" s="37">
        <f>IF( ISERROR(IND_rest_gas_kWh/1000),0,IND_rest_gas_kWh/1000)*0.902</f>
        <v>1663.692607439466</v>
      </c>
      <c r="E15" s="33">
        <f>C37*'E Balans VL '!I15/100/3.6*1000000</f>
        <v>218.39190060935101</v>
      </c>
      <c r="F15" s="33">
        <f>C37*'E Balans VL '!L15/100/3.6*1000000+C37*'E Balans VL '!N15/100/3.6*1000000</f>
        <v>920.25764918109451</v>
      </c>
      <c r="G15" s="34"/>
      <c r="H15" s="33"/>
      <c r="I15" s="33"/>
      <c r="J15" s="40">
        <f>C37*'E Balans VL '!D15/100/3.6*1000000+C37*'E Balans VL '!E15/100/3.6*1000000</f>
        <v>10.033529049731857</v>
      </c>
      <c r="K15" s="33"/>
      <c r="L15" s="33"/>
      <c r="M15" s="33"/>
      <c r="N15" s="33">
        <f>C37*'E Balans VL '!Y15/100/3.6*1000000</f>
        <v>181.67875596382518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12340.260542988311</v>
      </c>
      <c r="C18" s="21">
        <f>C5+C16</f>
        <v>0</v>
      </c>
      <c r="D18" s="21">
        <f>MAX((D5+D16),0)</f>
        <v>11243.860885738632</v>
      </c>
      <c r="E18" s="21">
        <f>MAX((E5+E16),0)</f>
        <v>2045.4990655995487</v>
      </c>
      <c r="F18" s="21">
        <f>MAX((F5+F16),0)</f>
        <v>7884.1050634467638</v>
      </c>
      <c r="G18" s="21"/>
      <c r="H18" s="21"/>
      <c r="I18" s="21"/>
      <c r="J18" s="21">
        <f>MAX((J5+J16),0)</f>
        <v>10.05836638728705</v>
      </c>
      <c r="K18" s="21"/>
      <c r="L18" s="21">
        <f>MAX((L5+L16),0)</f>
        <v>0</v>
      </c>
      <c r="M18" s="21"/>
      <c r="N18" s="21">
        <f>MAX((N5+N16),0)</f>
        <v>1272.4479485549959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0.21770976690634977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2686.5952463776107</v>
      </c>
      <c r="C22" s="23">
        <f ca="1">C18*C20</f>
        <v>0</v>
      </c>
      <c r="D22" s="23">
        <f>D18*D20</f>
        <v>2271.2598989192038</v>
      </c>
      <c r="E22" s="23">
        <f>E18*E20</f>
        <v>464.32828789109755</v>
      </c>
      <c r="F22" s="23">
        <f>F18*F20</f>
        <v>2105.0560519402861</v>
      </c>
      <c r="G22" s="23"/>
      <c r="H22" s="23"/>
      <c r="I22" s="23"/>
      <c r="J22" s="23">
        <f>J18*J20</f>
        <v>3.5606617010996153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199.96088980403499</v>
      </c>
      <c r="C30" s="39">
        <f>IF(ISERROR(B30*3.6/1000000/'E Balans VL '!Z18*100),0,B30*3.6/1000000/'E Balans VL '!Z18*100)</f>
        <v>1.9675641110940639E-2</v>
      </c>
      <c r="D30" s="235" t="s">
        <v>647</v>
      </c>
    </row>
    <row r="31" spans="1:18">
      <c r="A31" s="6" t="s">
        <v>32</v>
      </c>
      <c r="B31" s="37">
        <f>IF( ISERROR(IND_ander_ele_kWh/1000),0,IND_ander_ele_kWh/1000)</f>
        <v>6160.5169842135301</v>
      </c>
      <c r="C31" s="39">
        <f>IF(ISERROR(B31*3.6/1000000/'E Balans VL '!Z19*100),0,B31*3.6/1000000/'E Balans VL '!Z19*100)</f>
        <v>0.26828560046650901</v>
      </c>
      <c r="D31" s="235" t="s">
        <v>647</v>
      </c>
    </row>
    <row r="32" spans="1:18">
      <c r="A32" s="170" t="s">
        <v>40</v>
      </c>
      <c r="B32" s="37">
        <f>IF( ISERROR(IND_voed_ele_kWh/1000),0,IND_voed_ele_kWh/1000)</f>
        <v>1877.52203788478</v>
      </c>
      <c r="C32" s="39">
        <f>IF(ISERROR(B32*3.6/1000000/'E Balans VL '!Z20*100),0,B32*3.6/1000000/'E Balans VL '!Z20*100)</f>
        <v>0.3562327298752454</v>
      </c>
      <c r="D32" s="235" t="s">
        <v>647</v>
      </c>
    </row>
    <row r="33" spans="1:5">
      <c r="A33" s="170" t="s">
        <v>39</v>
      </c>
      <c r="B33" s="37">
        <f>IF( ISERROR(IND_textiel_ele_kWh/1000),0,IND_textiel_ele_kWh/1000)</f>
        <v>120.38334163497201</v>
      </c>
      <c r="C33" s="39">
        <f>IF(ISERROR(B33*3.6/1000000/'E Balans VL '!Z21*100),0,B33*3.6/1000000/'E Balans VL '!Z21*100)</f>
        <v>6.87327831268975E-3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67.213664284834906</v>
      </c>
      <c r="C35" s="39">
        <f>IF(ISERROR(B35*3.6/1000000/'E Balans VL '!Z22*100),0,B35*3.6/1000000/'E Balans VL '!Z22*100)</f>
        <v>9.450916137026949E-3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3914.6636251661603</v>
      </c>
      <c r="C37" s="39">
        <f>IF(ISERROR(B37*3.6/1000000/'E Balans VL '!Z15*100),0,B37*3.6/1000000/'E Balans VL '!Z15*100)</f>
        <v>3.0167291429943847E-2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1672.0501816863198</v>
      </c>
      <c r="C5" s="17">
        <f>'Eigen informatie GS &amp; warmtenet'!B60</f>
        <v>0</v>
      </c>
      <c r="D5" s="30">
        <f>IF(ISERROR(SUM(LB_lb_gas_kWh,LB_rest_gas_kWh)/1000),0,SUM(LB_lb_gas_kWh,LB_rest_gas_kWh)/1000)*0.902</f>
        <v>781.55919993599741</v>
      </c>
      <c r="E5" s="17">
        <f>B17*'E Balans VL '!I25/3.6*1000000/100</f>
        <v>34.719637389770604</v>
      </c>
      <c r="F5" s="17">
        <f>B17*('E Balans VL '!L25/3.6*1000000+'E Balans VL '!N25/3.6*1000000)/100</f>
        <v>5909.068007916313</v>
      </c>
      <c r="G5" s="18"/>
      <c r="H5" s="17"/>
      <c r="I5" s="17"/>
      <c r="J5" s="17">
        <f>('E Balans VL '!D25+'E Balans VL '!E25)/3.6*1000000*landbouw!B17/100</f>
        <v>191.77358040572472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1672.0501816863198</v>
      </c>
      <c r="C8" s="21">
        <f>C5+C6</f>
        <v>0</v>
      </c>
      <c r="D8" s="21">
        <f>MAX((D5+D6),0)</f>
        <v>781.55919993599741</v>
      </c>
      <c r="E8" s="21">
        <f>MAX((E5+E6),0)</f>
        <v>34.719637389770604</v>
      </c>
      <c r="F8" s="21">
        <f>MAX((F5+F6),0)</f>
        <v>5909.068007916313</v>
      </c>
      <c r="G8" s="21"/>
      <c r="H8" s="21"/>
      <c r="I8" s="21"/>
      <c r="J8" s="21">
        <f>MAX((J5+J6),0)</f>
        <v>191.77358040572472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0.21770976690634977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364.02165531064844</v>
      </c>
      <c r="C12" s="23">
        <f ca="1">C8*C10</f>
        <v>0</v>
      </c>
      <c r="D12" s="23">
        <f>D8*D10</f>
        <v>157.8749583870715</v>
      </c>
      <c r="E12" s="23">
        <f>E8*E10</f>
        <v>7.8813576874779274</v>
      </c>
      <c r="F12" s="23">
        <f>F8*F10</f>
        <v>1577.7211581136557</v>
      </c>
      <c r="G12" s="23"/>
      <c r="H12" s="23"/>
      <c r="I12" s="23"/>
      <c r="J12" s="23">
        <f>J8*J10</f>
        <v>67.887847463626542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0.23319830038255274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313.68730807791599</v>
      </c>
      <c r="C26" s="245">
        <f>B26*'GWP N2O_CH4'!B5</f>
        <v>6587.4334696362357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65.013435376177355</v>
      </c>
      <c r="C27" s="245">
        <f>B27*'GWP N2O_CH4'!B5</f>
        <v>1365.2821428997245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5.3355682282861929</v>
      </c>
      <c r="C28" s="245">
        <f>B28*'GWP N2O_CH4'!B4</f>
        <v>1654.0261507687198</v>
      </c>
      <c r="D28" s="50"/>
    </row>
    <row r="29" spans="1:4">
      <c r="A29" s="41" t="s">
        <v>266</v>
      </c>
      <c r="B29" s="245">
        <f>B34*'ha_N2O bodem landbouw'!B4</f>
        <v>20.29421849839661</v>
      </c>
      <c r="C29" s="245">
        <f>B29*'GWP N2O_CH4'!B4</f>
        <v>6291.2077345029493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5.067263573558611E-3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4.1376447612455007E-5</v>
      </c>
      <c r="C5" s="434" t="s">
        <v>204</v>
      </c>
      <c r="D5" s="419">
        <f>SUM(D6:D11)</f>
        <v>4.0593388658179041E-5</v>
      </c>
      <c r="E5" s="419">
        <f>SUM(E6:E11)</f>
        <v>1.434693320133792E-3</v>
      </c>
      <c r="F5" s="432" t="s">
        <v>204</v>
      </c>
      <c r="G5" s="419">
        <f>SUM(G6:G11)</f>
        <v>0.40988876484836645</v>
      </c>
      <c r="H5" s="419">
        <f>SUM(H6:H11)</f>
        <v>7.3841173934114851E-2</v>
      </c>
      <c r="I5" s="434" t="s">
        <v>204</v>
      </c>
      <c r="J5" s="434" t="s">
        <v>204</v>
      </c>
      <c r="K5" s="434" t="s">
        <v>204</v>
      </c>
      <c r="L5" s="434" t="s">
        <v>204</v>
      </c>
      <c r="M5" s="419">
        <f>SUM(M6:M11)</f>
        <v>2.1872926758293342E-2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3.1510303610214086E-5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2.7949889609893946E-5</v>
      </c>
      <c r="E6" s="836">
        <f>vkm_GW_PW*SUMIFS(TableVerdeelsleutelVkm[LPG],TableVerdeelsleutelVkm[Voertuigtype],"Lichte voertuigen")*SUMIFS(TableECFTransport[EnergieConsumptieFactor (PJ per km)],TableECFTransport[Index],CONCATENATE($A6,"_LPG_LPG"))</f>
        <v>1.0036574680640155E-3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0.19952151541476001</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5.1505265038863823E-2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1.1356498978467109E-2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7.3013947419341515E-7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0.11425597155764521</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3.0055706653415828E-6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5.158851451691062E-3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9.0600316213019527E-6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1.2643499048285099E-5</v>
      </c>
      <c r="E8" s="422">
        <f>vkm_NGW_PW*SUMIFS(TableVerdeelsleutelVkm[LPG],TableVerdeelsleutelVkm[Voertuigtype],"Lichte voertuigen")*SUMIFS(TableECFTransport[EnergieConsumptieFactor (PJ per km)],TableECFTransport[Index],CONCATENATE($A8,"_LPG_LPG"))</f>
        <v>4.3103585206977641E-4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8.0840123324483315E-2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2.2332525842536675E-2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4.6680588305133205E-3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7.5972906745558233E-8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1.5271154551477921E-2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3.7748204901200906E-7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6.8951749762185047E-4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11.493457670126391</v>
      </c>
      <c r="C14" s="21"/>
      <c r="D14" s="21">
        <f t="shared" ref="D14:M14" si="0">((D5)*10^9/3600)+D12</f>
        <v>11.275941293938622</v>
      </c>
      <c r="E14" s="21">
        <f t="shared" si="0"/>
        <v>398.52592225938668</v>
      </c>
      <c r="F14" s="21"/>
      <c r="G14" s="21">
        <f t="shared" si="0"/>
        <v>113857.99023565734</v>
      </c>
      <c r="H14" s="21">
        <f t="shared" si="0"/>
        <v>20511.437203920788</v>
      </c>
      <c r="I14" s="21"/>
      <c r="J14" s="21"/>
      <c r="K14" s="21"/>
      <c r="L14" s="21"/>
      <c r="M14" s="21">
        <f t="shared" si="0"/>
        <v>6075.8129884148175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0.21770976690634977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2.5022379903112144</v>
      </c>
      <c r="C18" s="23"/>
      <c r="D18" s="23">
        <f t="shared" ref="D18:M18" si="1">D14*D16</f>
        <v>2.277740141375602</v>
      </c>
      <c r="E18" s="23">
        <f t="shared" si="1"/>
        <v>90.465384352880776</v>
      </c>
      <c r="F18" s="23"/>
      <c r="G18" s="23">
        <f t="shared" si="1"/>
        <v>30400.083392920511</v>
      </c>
      <c r="H18" s="23">
        <f t="shared" si="1"/>
        <v>5107.3478637762764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2.2340718366077638E-3</v>
      </c>
      <c r="C50" s="316">
        <f t="shared" ref="C50:P50" si="2">SUM(C51:C52)</f>
        <v>0</v>
      </c>
      <c r="D50" s="316">
        <f t="shared" si="2"/>
        <v>0</v>
      </c>
      <c r="E50" s="316">
        <f t="shared" si="2"/>
        <v>0</v>
      </c>
      <c r="F50" s="316">
        <f t="shared" si="2"/>
        <v>0</v>
      </c>
      <c r="G50" s="316">
        <f t="shared" si="2"/>
        <v>5.6538554709046609E-3</v>
      </c>
      <c r="H50" s="316">
        <f t="shared" si="2"/>
        <v>0</v>
      </c>
      <c r="I50" s="316">
        <f t="shared" si="2"/>
        <v>0</v>
      </c>
      <c r="J50" s="316">
        <f t="shared" si="2"/>
        <v>0</v>
      </c>
      <c r="K50" s="316">
        <f t="shared" si="2"/>
        <v>0</v>
      </c>
      <c r="L50" s="316">
        <f t="shared" si="2"/>
        <v>0</v>
      </c>
      <c r="M50" s="316">
        <f t="shared" si="2"/>
        <v>2.5352363005405317E-4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2.9047109328876229E-5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5.6538554709046609E-3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2.5352363005405317E-4</v>
      </c>
      <c r="N51" s="318"/>
      <c r="O51" s="318"/>
      <c r="P51" s="321"/>
    </row>
    <row r="52" spans="1:18">
      <c r="A52" s="4" t="s">
        <v>318</v>
      </c>
      <c r="B52" s="322">
        <f>vkm_tram*SUMIFS(TableECFTransport[EnergieConsumptieFactor (PJ per km)],TableECFTransport[Index],"Tram_gemiddeld_Electric_Electric")</f>
        <v>2.2050247272788876E-3</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620.57551016882326</v>
      </c>
      <c r="C54" s="21">
        <f t="shared" ref="C54:P54" si="3">(C50)*10^9/3600</f>
        <v>0</v>
      </c>
      <c r="D54" s="21">
        <f t="shared" si="3"/>
        <v>0</v>
      </c>
      <c r="E54" s="21">
        <f t="shared" si="3"/>
        <v>0</v>
      </c>
      <c r="F54" s="21">
        <f t="shared" si="3"/>
        <v>0</v>
      </c>
      <c r="G54" s="21">
        <f t="shared" si="3"/>
        <v>1570.5154085846282</v>
      </c>
      <c r="H54" s="21">
        <f t="shared" si="3"/>
        <v>0</v>
      </c>
      <c r="I54" s="21">
        <f t="shared" si="3"/>
        <v>0</v>
      </c>
      <c r="J54" s="21">
        <f t="shared" si="3"/>
        <v>0</v>
      </c>
      <c r="K54" s="21">
        <f t="shared" si="3"/>
        <v>0</v>
      </c>
      <c r="L54" s="21">
        <f t="shared" si="3"/>
        <v>0</v>
      </c>
      <c r="M54" s="21">
        <f t="shared" si="3"/>
        <v>70.423230570570325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0.21770976690634977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135.1053496666436</v>
      </c>
      <c r="C58" s="23">
        <f t="shared" ref="C58:P58" ca="1" si="4">C54*C56</f>
        <v>0</v>
      </c>
      <c r="D58" s="23">
        <f t="shared" si="4"/>
        <v>0</v>
      </c>
      <c r="E58" s="23">
        <f t="shared" si="4"/>
        <v>0</v>
      </c>
      <c r="F58" s="23">
        <f t="shared" si="4"/>
        <v>0</v>
      </c>
      <c r="G58" s="23">
        <f t="shared" si="4"/>
        <v>419.32761409209576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3046.4632974771303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3046.4632974771303</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97802.301642897408</v>
      </c>
      <c r="D10" s="640">
        <f ca="1">tertiair!C16</f>
        <v>0</v>
      </c>
      <c r="E10" s="640">
        <f ca="1">tertiair!D16</f>
        <v>125037.85940565536</v>
      </c>
      <c r="F10" s="640">
        <f>tertiair!E16</f>
        <v>656.26445477550885</v>
      </c>
      <c r="G10" s="640">
        <f ca="1">tertiair!F16</f>
        <v>13100.979164675662</v>
      </c>
      <c r="H10" s="640">
        <f>tertiair!G16</f>
        <v>0</v>
      </c>
      <c r="I10" s="640">
        <f>tertiair!H16</f>
        <v>0</v>
      </c>
      <c r="J10" s="640">
        <f>tertiair!I16</f>
        <v>0</v>
      </c>
      <c r="K10" s="640">
        <f>tertiair!J16</f>
        <v>82.63630908710492</v>
      </c>
      <c r="L10" s="640">
        <f>tertiair!K16</f>
        <v>0</v>
      </c>
      <c r="M10" s="640">
        <f ca="1">tertiair!L16</f>
        <v>0</v>
      </c>
      <c r="N10" s="640">
        <f>tertiair!M16</f>
        <v>0</v>
      </c>
      <c r="O10" s="640">
        <f ca="1">tertiair!N16</f>
        <v>6006.8964104056995</v>
      </c>
      <c r="P10" s="640">
        <f>tertiair!O16</f>
        <v>0</v>
      </c>
      <c r="Q10" s="641">
        <f>tertiair!P16</f>
        <v>76.266666666666666</v>
      </c>
      <c r="R10" s="643">
        <f ca="1">SUM(C10:Q10)</f>
        <v>242763.20405416342</v>
      </c>
      <c r="S10" s="67"/>
    </row>
    <row r="11" spans="1:19" s="444" customFormat="1">
      <c r="A11" s="754" t="s">
        <v>214</v>
      </c>
      <c r="B11" s="759"/>
      <c r="C11" s="640">
        <f>huishoudens!B8</f>
        <v>78515.406040117028</v>
      </c>
      <c r="D11" s="640">
        <f>huishoudens!C8</f>
        <v>0</v>
      </c>
      <c r="E11" s="640">
        <f>huishoudens!D8</f>
        <v>257030.92962859329</v>
      </c>
      <c r="F11" s="640">
        <f>huishoudens!E8</f>
        <v>0</v>
      </c>
      <c r="G11" s="640">
        <f>huishoudens!F8</f>
        <v>0</v>
      </c>
      <c r="H11" s="640">
        <f>huishoudens!G8</f>
        <v>0</v>
      </c>
      <c r="I11" s="640">
        <f>huishoudens!H8</f>
        <v>0</v>
      </c>
      <c r="J11" s="640">
        <f>huishoudens!I8</f>
        <v>0</v>
      </c>
      <c r="K11" s="640">
        <f>huishoudens!J8</f>
        <v>0</v>
      </c>
      <c r="L11" s="640">
        <f>huishoudens!K8</f>
        <v>0</v>
      </c>
      <c r="M11" s="640">
        <f>huishoudens!L8</f>
        <v>0</v>
      </c>
      <c r="N11" s="640">
        <f>huishoudens!M8</f>
        <v>0</v>
      </c>
      <c r="O11" s="640">
        <f>huishoudens!N8</f>
        <v>23027.867120011277</v>
      </c>
      <c r="P11" s="640">
        <f>huishoudens!O8</f>
        <v>120.37666666666668</v>
      </c>
      <c r="Q11" s="641">
        <f>huishoudens!P8</f>
        <v>228.8</v>
      </c>
      <c r="R11" s="643">
        <f>SUM(C11:Q11)</f>
        <v>358923.37945538823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12340.260542988311</v>
      </c>
      <c r="D13" s="640">
        <f>industrie!C18</f>
        <v>0</v>
      </c>
      <c r="E13" s="640">
        <f>industrie!D18</f>
        <v>11243.860885738632</v>
      </c>
      <c r="F13" s="640">
        <f>industrie!E18</f>
        <v>2045.4990655995487</v>
      </c>
      <c r="G13" s="640">
        <f>industrie!F18</f>
        <v>7884.1050634467638</v>
      </c>
      <c r="H13" s="640">
        <f>industrie!G18</f>
        <v>0</v>
      </c>
      <c r="I13" s="640">
        <f>industrie!H18</f>
        <v>0</v>
      </c>
      <c r="J13" s="640">
        <f>industrie!I18</f>
        <v>0</v>
      </c>
      <c r="K13" s="640">
        <f>industrie!J18</f>
        <v>10.05836638728705</v>
      </c>
      <c r="L13" s="640">
        <f>industrie!K18</f>
        <v>0</v>
      </c>
      <c r="M13" s="640">
        <f>industrie!L18</f>
        <v>0</v>
      </c>
      <c r="N13" s="640">
        <f>industrie!M18</f>
        <v>0</v>
      </c>
      <c r="O13" s="640">
        <f>industrie!N18</f>
        <v>1272.4479485549959</v>
      </c>
      <c r="P13" s="640">
        <f>industrie!O18</f>
        <v>0</v>
      </c>
      <c r="Q13" s="641">
        <f>industrie!P18</f>
        <v>0</v>
      </c>
      <c r="R13" s="643">
        <f>SUM(C13:Q13)</f>
        <v>34796.231872715543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188657.96822600276</v>
      </c>
      <c r="D16" s="675">
        <f t="shared" ref="D16:R16" ca="1" si="0">SUM(D9:D15)</f>
        <v>0</v>
      </c>
      <c r="E16" s="675">
        <f t="shared" ca="1" si="0"/>
        <v>393312.64991998731</v>
      </c>
      <c r="F16" s="675">
        <f t="shared" si="0"/>
        <v>2701.7635203750574</v>
      </c>
      <c r="G16" s="675">
        <f t="shared" ca="1" si="0"/>
        <v>20985.084228122425</v>
      </c>
      <c r="H16" s="675">
        <f t="shared" si="0"/>
        <v>0</v>
      </c>
      <c r="I16" s="675">
        <f t="shared" si="0"/>
        <v>0</v>
      </c>
      <c r="J16" s="675">
        <f t="shared" si="0"/>
        <v>0</v>
      </c>
      <c r="K16" s="675">
        <f t="shared" si="0"/>
        <v>92.694675474391971</v>
      </c>
      <c r="L16" s="675">
        <f t="shared" si="0"/>
        <v>0</v>
      </c>
      <c r="M16" s="675">
        <f t="shared" ca="1" si="0"/>
        <v>0</v>
      </c>
      <c r="N16" s="675">
        <f t="shared" si="0"/>
        <v>0</v>
      </c>
      <c r="O16" s="675">
        <f t="shared" ca="1" si="0"/>
        <v>30307.211478971971</v>
      </c>
      <c r="P16" s="675">
        <f t="shared" si="0"/>
        <v>120.37666666666668</v>
      </c>
      <c r="Q16" s="675">
        <f t="shared" si="0"/>
        <v>305.06666666666666</v>
      </c>
      <c r="R16" s="675">
        <f t="shared" ca="1" si="0"/>
        <v>636482.81538226712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620.57551016882326</v>
      </c>
      <c r="D19" s="640">
        <f>transport!C54</f>
        <v>0</v>
      </c>
      <c r="E19" s="640">
        <f>transport!D54</f>
        <v>0</v>
      </c>
      <c r="F19" s="640">
        <f>transport!E54</f>
        <v>0</v>
      </c>
      <c r="G19" s="640">
        <f>transport!F54</f>
        <v>0</v>
      </c>
      <c r="H19" s="640">
        <f>transport!G54</f>
        <v>1570.5154085846282</v>
      </c>
      <c r="I19" s="640">
        <f>transport!H54</f>
        <v>0</v>
      </c>
      <c r="J19" s="640">
        <f>transport!I54</f>
        <v>0</v>
      </c>
      <c r="K19" s="640">
        <f>transport!J54</f>
        <v>0</v>
      </c>
      <c r="L19" s="640">
        <f>transport!K54</f>
        <v>0</v>
      </c>
      <c r="M19" s="640">
        <f>transport!L54</f>
        <v>0</v>
      </c>
      <c r="N19" s="640">
        <f>transport!M54</f>
        <v>70.423230570570325</v>
      </c>
      <c r="O19" s="640">
        <f>transport!N54</f>
        <v>0</v>
      </c>
      <c r="P19" s="640">
        <f>transport!O54</f>
        <v>0</v>
      </c>
      <c r="Q19" s="641">
        <f>transport!P54</f>
        <v>0</v>
      </c>
      <c r="R19" s="643">
        <f>SUM(C19:Q19)</f>
        <v>2261.5141493240221</v>
      </c>
      <c r="S19" s="67"/>
    </row>
    <row r="20" spans="1:19" s="444" customFormat="1">
      <c r="A20" s="754" t="s">
        <v>296</v>
      </c>
      <c r="B20" s="759"/>
      <c r="C20" s="640">
        <f>transport!B14</f>
        <v>11.493457670126391</v>
      </c>
      <c r="D20" s="640">
        <f>transport!C14</f>
        <v>0</v>
      </c>
      <c r="E20" s="640">
        <f>transport!D14</f>
        <v>11.275941293938622</v>
      </c>
      <c r="F20" s="640">
        <f>transport!E14</f>
        <v>398.52592225938668</v>
      </c>
      <c r="G20" s="640">
        <f>transport!F14</f>
        <v>0</v>
      </c>
      <c r="H20" s="640">
        <f>transport!G14</f>
        <v>113857.99023565734</v>
      </c>
      <c r="I20" s="640">
        <f>transport!H14</f>
        <v>20511.437203920788</v>
      </c>
      <c r="J20" s="640">
        <f>transport!I14</f>
        <v>0</v>
      </c>
      <c r="K20" s="640">
        <f>transport!J14</f>
        <v>0</v>
      </c>
      <c r="L20" s="640">
        <f>transport!K14</f>
        <v>0</v>
      </c>
      <c r="M20" s="640">
        <f>transport!L14</f>
        <v>0</v>
      </c>
      <c r="N20" s="640">
        <f>transport!M14</f>
        <v>6075.8129884148175</v>
      </c>
      <c r="O20" s="640">
        <f>transport!N14</f>
        <v>0</v>
      </c>
      <c r="P20" s="640">
        <f>transport!O14</f>
        <v>0</v>
      </c>
      <c r="Q20" s="641">
        <f>transport!P14</f>
        <v>0</v>
      </c>
      <c r="R20" s="643">
        <f>SUM(C20:Q20)</f>
        <v>140866.53574921639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632.06896783894967</v>
      </c>
      <c r="D22" s="757">
        <f t="shared" ref="D22:R22" si="1">SUM(D18:D21)</f>
        <v>0</v>
      </c>
      <c r="E22" s="757">
        <f t="shared" si="1"/>
        <v>11.275941293938622</v>
      </c>
      <c r="F22" s="757">
        <f t="shared" si="1"/>
        <v>398.52592225938668</v>
      </c>
      <c r="G22" s="757">
        <f t="shared" si="1"/>
        <v>0</v>
      </c>
      <c r="H22" s="757">
        <f t="shared" si="1"/>
        <v>115428.50564424197</v>
      </c>
      <c r="I22" s="757">
        <f t="shared" si="1"/>
        <v>20511.437203920788</v>
      </c>
      <c r="J22" s="757">
        <f t="shared" si="1"/>
        <v>0</v>
      </c>
      <c r="K22" s="757">
        <f t="shared" si="1"/>
        <v>0</v>
      </c>
      <c r="L22" s="757">
        <f t="shared" si="1"/>
        <v>0</v>
      </c>
      <c r="M22" s="757">
        <f t="shared" si="1"/>
        <v>0</v>
      </c>
      <c r="N22" s="757">
        <f t="shared" si="1"/>
        <v>6146.2362189853875</v>
      </c>
      <c r="O22" s="757">
        <f t="shared" si="1"/>
        <v>0</v>
      </c>
      <c r="P22" s="757">
        <f t="shared" si="1"/>
        <v>0</v>
      </c>
      <c r="Q22" s="757">
        <f t="shared" si="1"/>
        <v>0</v>
      </c>
      <c r="R22" s="757">
        <f t="shared" si="1"/>
        <v>143128.0498985404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1672.0501816863198</v>
      </c>
      <c r="D24" s="640">
        <f>+landbouw!C8</f>
        <v>0</v>
      </c>
      <c r="E24" s="640">
        <f>+landbouw!D8</f>
        <v>781.55919993599741</v>
      </c>
      <c r="F24" s="640">
        <f>+landbouw!E8</f>
        <v>34.719637389770604</v>
      </c>
      <c r="G24" s="640">
        <f>+landbouw!F8</f>
        <v>5909.068007916313</v>
      </c>
      <c r="H24" s="640">
        <f>+landbouw!G8</f>
        <v>0</v>
      </c>
      <c r="I24" s="640">
        <f>+landbouw!H8</f>
        <v>0</v>
      </c>
      <c r="J24" s="640">
        <f>+landbouw!I8</f>
        <v>0</v>
      </c>
      <c r="K24" s="640">
        <f>+landbouw!J8</f>
        <v>191.77358040572472</v>
      </c>
      <c r="L24" s="640">
        <f>+landbouw!K8</f>
        <v>0</v>
      </c>
      <c r="M24" s="640">
        <f>+landbouw!L8</f>
        <v>0</v>
      </c>
      <c r="N24" s="640">
        <f>+landbouw!M8</f>
        <v>0</v>
      </c>
      <c r="O24" s="640">
        <f>+landbouw!N8</f>
        <v>0</v>
      </c>
      <c r="P24" s="640">
        <f>+landbouw!O8</f>
        <v>0</v>
      </c>
      <c r="Q24" s="641">
        <f>+landbouw!P8</f>
        <v>0</v>
      </c>
      <c r="R24" s="643">
        <f>SUM(C24:Q24)</f>
        <v>8589.1706073341247</v>
      </c>
      <c r="S24" s="67"/>
    </row>
    <row r="25" spans="1:19" s="444" customFormat="1" ht="15" thickBot="1">
      <c r="A25" s="776" t="s">
        <v>806</v>
      </c>
      <c r="B25" s="939"/>
      <c r="C25" s="940">
        <f>IF(Onbekend_ele_kWh="---",0,Onbekend_ele_kWh)/1000+IF(REST_rest_ele_kWh="---",0,REST_rest_ele_kWh)/1000</f>
        <v>13664.262666898399</v>
      </c>
      <c r="D25" s="940"/>
      <c r="E25" s="940">
        <f>IF(onbekend_gas_kWh="---",0,onbekend_gas_kWh)/1000+IF(REST_rest_gas_kWh="---",0,REST_rest_gas_kWh)/1000</f>
        <v>33667.535073461506</v>
      </c>
      <c r="F25" s="940"/>
      <c r="G25" s="940"/>
      <c r="H25" s="940"/>
      <c r="I25" s="940"/>
      <c r="J25" s="940"/>
      <c r="K25" s="940"/>
      <c r="L25" s="940"/>
      <c r="M25" s="940"/>
      <c r="N25" s="940"/>
      <c r="O25" s="940"/>
      <c r="P25" s="940"/>
      <c r="Q25" s="941"/>
      <c r="R25" s="643">
        <f>SUM(C25:Q25)</f>
        <v>47331.797740359907</v>
      </c>
      <c r="S25" s="67"/>
    </row>
    <row r="26" spans="1:19" s="444" customFormat="1" ht="15.75" thickBot="1">
      <c r="A26" s="648" t="s">
        <v>807</v>
      </c>
      <c r="B26" s="762"/>
      <c r="C26" s="757">
        <f>SUM(C24:C25)</f>
        <v>15336.312848584719</v>
      </c>
      <c r="D26" s="757">
        <f t="shared" ref="D26:R26" si="2">SUM(D24:D25)</f>
        <v>0</v>
      </c>
      <c r="E26" s="757">
        <f t="shared" si="2"/>
        <v>34449.094273397503</v>
      </c>
      <c r="F26" s="757">
        <f t="shared" si="2"/>
        <v>34.719637389770604</v>
      </c>
      <c r="G26" s="757">
        <f t="shared" si="2"/>
        <v>5909.068007916313</v>
      </c>
      <c r="H26" s="757">
        <f t="shared" si="2"/>
        <v>0</v>
      </c>
      <c r="I26" s="757">
        <f t="shared" si="2"/>
        <v>0</v>
      </c>
      <c r="J26" s="757">
        <f t="shared" si="2"/>
        <v>0</v>
      </c>
      <c r="K26" s="757">
        <f t="shared" si="2"/>
        <v>191.77358040572472</v>
      </c>
      <c r="L26" s="757">
        <f t="shared" si="2"/>
        <v>0</v>
      </c>
      <c r="M26" s="757">
        <f t="shared" si="2"/>
        <v>0</v>
      </c>
      <c r="N26" s="757">
        <f t="shared" si="2"/>
        <v>0</v>
      </c>
      <c r="O26" s="757">
        <f t="shared" si="2"/>
        <v>0</v>
      </c>
      <c r="P26" s="757">
        <f t="shared" si="2"/>
        <v>0</v>
      </c>
      <c r="Q26" s="757">
        <f t="shared" si="2"/>
        <v>0</v>
      </c>
      <c r="R26" s="757">
        <f t="shared" si="2"/>
        <v>55920.968347694034</v>
      </c>
      <c r="S26" s="67"/>
    </row>
    <row r="27" spans="1:19" s="444" customFormat="1" ht="17.25" thickTop="1" thickBot="1">
      <c r="A27" s="649" t="s">
        <v>109</v>
      </c>
      <c r="B27" s="749"/>
      <c r="C27" s="650">
        <f ca="1">C22+C16+C26</f>
        <v>204626.35004242643</v>
      </c>
      <c r="D27" s="650">
        <f t="shared" ref="D27:R27" ca="1" si="3">D22+D16+D26</f>
        <v>0</v>
      </c>
      <c r="E27" s="650">
        <f t="shared" ca="1" si="3"/>
        <v>427773.02013467875</v>
      </c>
      <c r="F27" s="650">
        <f t="shared" si="3"/>
        <v>3135.0090800242147</v>
      </c>
      <c r="G27" s="650">
        <f t="shared" ca="1" si="3"/>
        <v>26894.152236038739</v>
      </c>
      <c r="H27" s="650">
        <f t="shared" si="3"/>
        <v>115428.50564424197</v>
      </c>
      <c r="I27" s="650">
        <f t="shared" si="3"/>
        <v>20511.437203920788</v>
      </c>
      <c r="J27" s="650">
        <f t="shared" si="3"/>
        <v>0</v>
      </c>
      <c r="K27" s="650">
        <f t="shared" si="3"/>
        <v>284.46825588011666</v>
      </c>
      <c r="L27" s="650">
        <f t="shared" si="3"/>
        <v>0</v>
      </c>
      <c r="M27" s="650">
        <f t="shared" ca="1" si="3"/>
        <v>0</v>
      </c>
      <c r="N27" s="650">
        <f t="shared" si="3"/>
        <v>6146.2362189853875</v>
      </c>
      <c r="O27" s="650">
        <f t="shared" ca="1" si="3"/>
        <v>30307.211478971971</v>
      </c>
      <c r="P27" s="650">
        <f t="shared" si="3"/>
        <v>120.37666666666668</v>
      </c>
      <c r="Q27" s="650">
        <f t="shared" si="3"/>
        <v>305.06666666666666</v>
      </c>
      <c r="R27" s="650">
        <f t="shared" ca="1" si="3"/>
        <v>835531.83362850151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21292.516293579705</v>
      </c>
      <c r="D40" s="640">
        <f ca="1">tertiair!C20</f>
        <v>0</v>
      </c>
      <c r="E40" s="640">
        <f ca="1">tertiair!D20</f>
        <v>25257.647599942382</v>
      </c>
      <c r="F40" s="640">
        <f>tertiair!E20</f>
        <v>148.97203123404051</v>
      </c>
      <c r="G40" s="640">
        <f ca="1">tertiair!F20</f>
        <v>3497.9614369684018</v>
      </c>
      <c r="H40" s="640">
        <f>tertiair!G20</f>
        <v>0</v>
      </c>
      <c r="I40" s="640">
        <f>tertiair!H20</f>
        <v>0</v>
      </c>
      <c r="J40" s="640">
        <f>tertiair!I20</f>
        <v>0</v>
      </c>
      <c r="K40" s="640">
        <f>tertiair!J20</f>
        <v>29.25325341683514</v>
      </c>
      <c r="L40" s="640">
        <f>tertiair!K20</f>
        <v>0</v>
      </c>
      <c r="M40" s="640">
        <f ca="1">tertiair!L20</f>
        <v>0</v>
      </c>
      <c r="N40" s="640">
        <f>tertiair!M20</f>
        <v>0</v>
      </c>
      <c r="O40" s="640">
        <f ca="1">tertiair!N20</f>
        <v>0</v>
      </c>
      <c r="P40" s="640">
        <f>tertiair!O20</f>
        <v>0</v>
      </c>
      <c r="Q40" s="717">
        <f>tertiair!P20</f>
        <v>0</v>
      </c>
      <c r="R40" s="795">
        <f t="shared" ca="1" si="4"/>
        <v>50226.35061514136</v>
      </c>
    </row>
    <row r="41" spans="1:18">
      <c r="A41" s="767" t="s">
        <v>214</v>
      </c>
      <c r="B41" s="774"/>
      <c r="C41" s="640">
        <f ca="1">huishoudens!B12</f>
        <v>17093.570747551286</v>
      </c>
      <c r="D41" s="640">
        <f ca="1">huishoudens!C12</f>
        <v>0</v>
      </c>
      <c r="E41" s="640">
        <f>huishoudens!D12</f>
        <v>51920.247784975851</v>
      </c>
      <c r="F41" s="640">
        <f>huishoudens!E12</f>
        <v>0</v>
      </c>
      <c r="G41" s="640">
        <f>huishoudens!F12</f>
        <v>0</v>
      </c>
      <c r="H41" s="640">
        <f>huishoudens!G12</f>
        <v>0</v>
      </c>
      <c r="I41" s="640">
        <f>huishoudens!H12</f>
        <v>0</v>
      </c>
      <c r="J41" s="640">
        <f>huishoudens!I12</f>
        <v>0</v>
      </c>
      <c r="K41" s="640">
        <f>huishoudens!J12</f>
        <v>0</v>
      </c>
      <c r="L41" s="640">
        <f>huishoudens!K12</f>
        <v>0</v>
      </c>
      <c r="M41" s="640">
        <f>huishoudens!L12</f>
        <v>0</v>
      </c>
      <c r="N41" s="640">
        <f>huishoudens!M12</f>
        <v>0</v>
      </c>
      <c r="O41" s="640">
        <f>huishoudens!N12</f>
        <v>0</v>
      </c>
      <c r="P41" s="640">
        <f>huishoudens!O12</f>
        <v>0</v>
      </c>
      <c r="Q41" s="717">
        <f>huishoudens!P12</f>
        <v>0</v>
      </c>
      <c r="R41" s="795">
        <f t="shared" ca="1" si="4"/>
        <v>69013.818532527133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2686.5952463776107</v>
      </c>
      <c r="D43" s="640">
        <f ca="1">industrie!C22</f>
        <v>0</v>
      </c>
      <c r="E43" s="640">
        <f>industrie!D22</f>
        <v>2271.2598989192038</v>
      </c>
      <c r="F43" s="640">
        <f>industrie!E22</f>
        <v>464.32828789109755</v>
      </c>
      <c r="G43" s="640">
        <f>industrie!F22</f>
        <v>2105.0560519402861</v>
      </c>
      <c r="H43" s="640">
        <f>industrie!G22</f>
        <v>0</v>
      </c>
      <c r="I43" s="640">
        <f>industrie!H22</f>
        <v>0</v>
      </c>
      <c r="J43" s="640">
        <f>industrie!I22</f>
        <v>0</v>
      </c>
      <c r="K43" s="640">
        <f>industrie!J22</f>
        <v>3.5606617010996153</v>
      </c>
      <c r="L43" s="640">
        <f>industrie!K22</f>
        <v>0</v>
      </c>
      <c r="M43" s="640">
        <f>industrie!L22</f>
        <v>0</v>
      </c>
      <c r="N43" s="640">
        <f>industrie!M22</f>
        <v>0</v>
      </c>
      <c r="O43" s="640">
        <f>industrie!N22</f>
        <v>0</v>
      </c>
      <c r="P43" s="640">
        <f>industrie!O22</f>
        <v>0</v>
      </c>
      <c r="Q43" s="717">
        <f>industrie!P22</f>
        <v>0</v>
      </c>
      <c r="R43" s="794">
        <f t="shared" ca="1" si="4"/>
        <v>7530.8001468292987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41072.6822875086</v>
      </c>
      <c r="D46" s="675">
        <f t="shared" ref="D46:Q46" ca="1" si="5">SUM(D39:D45)</f>
        <v>0</v>
      </c>
      <c r="E46" s="675">
        <f t="shared" ca="1" si="5"/>
        <v>79449.155283837434</v>
      </c>
      <c r="F46" s="675">
        <f t="shared" si="5"/>
        <v>613.300319125138</v>
      </c>
      <c r="G46" s="675">
        <f t="shared" ca="1" si="5"/>
        <v>5603.0174889086884</v>
      </c>
      <c r="H46" s="675">
        <f t="shared" si="5"/>
        <v>0</v>
      </c>
      <c r="I46" s="675">
        <f t="shared" si="5"/>
        <v>0</v>
      </c>
      <c r="J46" s="675">
        <f t="shared" si="5"/>
        <v>0</v>
      </c>
      <c r="K46" s="675">
        <f t="shared" si="5"/>
        <v>32.813915117934755</v>
      </c>
      <c r="L46" s="675">
        <f t="shared" si="5"/>
        <v>0</v>
      </c>
      <c r="M46" s="675">
        <f t="shared" ca="1" si="5"/>
        <v>0</v>
      </c>
      <c r="N46" s="675">
        <f t="shared" si="5"/>
        <v>0</v>
      </c>
      <c r="O46" s="675">
        <f t="shared" ca="1" si="5"/>
        <v>0</v>
      </c>
      <c r="P46" s="675">
        <f t="shared" si="5"/>
        <v>0</v>
      </c>
      <c r="Q46" s="675">
        <f t="shared" si="5"/>
        <v>0</v>
      </c>
      <c r="R46" s="675">
        <f ca="1">SUM(R39:R45)</f>
        <v>126770.96929449779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135.1053496666436</v>
      </c>
      <c r="D49" s="640">
        <f ca="1">transport!C58</f>
        <v>0</v>
      </c>
      <c r="E49" s="640">
        <f>transport!D58</f>
        <v>0</v>
      </c>
      <c r="F49" s="640">
        <f>transport!E58</f>
        <v>0</v>
      </c>
      <c r="G49" s="640">
        <f>transport!F58</f>
        <v>0</v>
      </c>
      <c r="H49" s="640">
        <f>transport!G58</f>
        <v>419.32761409209576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554.43296375873933</v>
      </c>
    </row>
    <row r="50" spans="1:18">
      <c r="A50" s="770" t="s">
        <v>296</v>
      </c>
      <c r="B50" s="780"/>
      <c r="C50" s="646">
        <f ca="1">transport!B18</f>
        <v>2.5022379903112144</v>
      </c>
      <c r="D50" s="646">
        <f>transport!C18</f>
        <v>0</v>
      </c>
      <c r="E50" s="646">
        <f>transport!D18</f>
        <v>2.277740141375602</v>
      </c>
      <c r="F50" s="646">
        <f>transport!E18</f>
        <v>90.465384352880776</v>
      </c>
      <c r="G50" s="646">
        <f>transport!F18</f>
        <v>0</v>
      </c>
      <c r="H50" s="646">
        <f>transport!G18</f>
        <v>30400.083392920511</v>
      </c>
      <c r="I50" s="646">
        <f>transport!H18</f>
        <v>5107.3478637762764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35602.676619181359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137.60758765695482</v>
      </c>
      <c r="D52" s="675">
        <f t="shared" ref="D52:Q52" ca="1" si="6">SUM(D48:D51)</f>
        <v>0</v>
      </c>
      <c r="E52" s="675">
        <f t="shared" si="6"/>
        <v>2.277740141375602</v>
      </c>
      <c r="F52" s="675">
        <f t="shared" si="6"/>
        <v>90.465384352880776</v>
      </c>
      <c r="G52" s="675">
        <f t="shared" si="6"/>
        <v>0</v>
      </c>
      <c r="H52" s="675">
        <f t="shared" si="6"/>
        <v>30819.411007012608</v>
      </c>
      <c r="I52" s="675">
        <f t="shared" si="6"/>
        <v>5107.3478637762764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36157.109582940095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364.02165531064844</v>
      </c>
      <c r="D54" s="646">
        <f ca="1">+landbouw!C12</f>
        <v>0</v>
      </c>
      <c r="E54" s="646">
        <f>+landbouw!D12</f>
        <v>157.8749583870715</v>
      </c>
      <c r="F54" s="646">
        <f>+landbouw!E12</f>
        <v>7.8813576874779274</v>
      </c>
      <c r="G54" s="646">
        <f>+landbouw!F12</f>
        <v>1577.7211581136557</v>
      </c>
      <c r="H54" s="646">
        <f>+landbouw!G12</f>
        <v>0</v>
      </c>
      <c r="I54" s="646">
        <f>+landbouw!H12</f>
        <v>0</v>
      </c>
      <c r="J54" s="646">
        <f>+landbouw!I12</f>
        <v>0</v>
      </c>
      <c r="K54" s="646">
        <f>+landbouw!J12</f>
        <v>67.887847463626542</v>
      </c>
      <c r="L54" s="646">
        <f>+landbouw!K12</f>
        <v>0</v>
      </c>
      <c r="M54" s="646">
        <f>+landbouw!L12</f>
        <v>0</v>
      </c>
      <c r="N54" s="646">
        <f>+landbouw!M12</f>
        <v>0</v>
      </c>
      <c r="O54" s="646">
        <f>+landbouw!N12</f>
        <v>0</v>
      </c>
      <c r="P54" s="646">
        <f>+landbouw!O12</f>
        <v>0</v>
      </c>
      <c r="Q54" s="647">
        <f>+landbouw!P12</f>
        <v>0</v>
      </c>
      <c r="R54" s="674">
        <f ca="1">SUM(C54:Q54)</f>
        <v>2175.3869769624803</v>
      </c>
    </row>
    <row r="55" spans="1:18" ht="15" thickBot="1">
      <c r="A55" s="770" t="s">
        <v>806</v>
      </c>
      <c r="B55" s="780"/>
      <c r="C55" s="646">
        <f ca="1">C25*'EF ele_warmte'!B12</f>
        <v>2974.8434401575878</v>
      </c>
      <c r="D55" s="646"/>
      <c r="E55" s="646">
        <f>E25*EF_CO2_aardgas</f>
        <v>6800.8420848392243</v>
      </c>
      <c r="F55" s="646"/>
      <c r="G55" s="646"/>
      <c r="H55" s="646"/>
      <c r="I55" s="646"/>
      <c r="J55" s="646"/>
      <c r="K55" s="646"/>
      <c r="L55" s="646"/>
      <c r="M55" s="646"/>
      <c r="N55" s="646"/>
      <c r="O55" s="646"/>
      <c r="P55" s="646"/>
      <c r="Q55" s="647"/>
      <c r="R55" s="674">
        <f ca="1">SUM(C55:Q55)</f>
        <v>9775.6855249968121</v>
      </c>
    </row>
    <row r="56" spans="1:18" ht="15.75" thickBot="1">
      <c r="A56" s="768" t="s">
        <v>807</v>
      </c>
      <c r="B56" s="781"/>
      <c r="C56" s="675">
        <f ca="1">SUM(C54:C55)</f>
        <v>3338.8650954682362</v>
      </c>
      <c r="D56" s="675">
        <f t="shared" ref="D56:Q56" ca="1" si="7">SUM(D54:D55)</f>
        <v>0</v>
      </c>
      <c r="E56" s="675">
        <f t="shared" si="7"/>
        <v>6958.7170432262956</v>
      </c>
      <c r="F56" s="675">
        <f t="shared" si="7"/>
        <v>7.8813576874779274</v>
      </c>
      <c r="G56" s="675">
        <f t="shared" si="7"/>
        <v>1577.7211581136557</v>
      </c>
      <c r="H56" s="675">
        <f t="shared" si="7"/>
        <v>0</v>
      </c>
      <c r="I56" s="675">
        <f t="shared" si="7"/>
        <v>0</v>
      </c>
      <c r="J56" s="675">
        <f t="shared" si="7"/>
        <v>0</v>
      </c>
      <c r="K56" s="675">
        <f t="shared" si="7"/>
        <v>67.887847463626542</v>
      </c>
      <c r="L56" s="675">
        <f t="shared" si="7"/>
        <v>0</v>
      </c>
      <c r="M56" s="675">
        <f t="shared" si="7"/>
        <v>0</v>
      </c>
      <c r="N56" s="675">
        <f t="shared" si="7"/>
        <v>0</v>
      </c>
      <c r="O56" s="675">
        <f t="shared" si="7"/>
        <v>0</v>
      </c>
      <c r="P56" s="675">
        <f t="shared" si="7"/>
        <v>0</v>
      </c>
      <c r="Q56" s="676">
        <f t="shared" si="7"/>
        <v>0</v>
      </c>
      <c r="R56" s="677">
        <f ca="1">SUM(R54:R55)</f>
        <v>11951.072501959292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44549.15497063379</v>
      </c>
      <c r="D61" s="683">
        <f t="shared" ref="D61:Q61" ca="1" si="8">D46+D52+D56</f>
        <v>0</v>
      </c>
      <c r="E61" s="683">
        <f t="shared" ca="1" si="8"/>
        <v>86410.150067205104</v>
      </c>
      <c r="F61" s="683">
        <f t="shared" si="8"/>
        <v>711.64706116549667</v>
      </c>
      <c r="G61" s="683">
        <f t="shared" ca="1" si="8"/>
        <v>7180.7386470223446</v>
      </c>
      <c r="H61" s="683">
        <f t="shared" si="8"/>
        <v>30819.411007012608</v>
      </c>
      <c r="I61" s="683">
        <f t="shared" si="8"/>
        <v>5107.3478637762764</v>
      </c>
      <c r="J61" s="683">
        <f t="shared" si="8"/>
        <v>0</v>
      </c>
      <c r="K61" s="683">
        <f t="shared" si="8"/>
        <v>100.7017625815613</v>
      </c>
      <c r="L61" s="683">
        <f t="shared" si="8"/>
        <v>0</v>
      </c>
      <c r="M61" s="683">
        <f t="shared" ca="1" si="8"/>
        <v>0</v>
      </c>
      <c r="N61" s="683">
        <f t="shared" si="8"/>
        <v>0</v>
      </c>
      <c r="O61" s="683">
        <f t="shared" ca="1" si="8"/>
        <v>0</v>
      </c>
      <c r="P61" s="683">
        <f t="shared" si="8"/>
        <v>0</v>
      </c>
      <c r="Q61" s="683">
        <f t="shared" si="8"/>
        <v>0</v>
      </c>
      <c r="R61" s="683">
        <f ca="1">R46+R52+R56</f>
        <v>174879.15137939717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0.21770976690634974</v>
      </c>
      <c r="D63" s="726">
        <f t="shared" ca="1" si="9"/>
        <v>0</v>
      </c>
      <c r="E63" s="946">
        <f t="shared" ca="1" si="9"/>
        <v>0.20199999999999999</v>
      </c>
      <c r="F63" s="726">
        <f t="shared" si="9"/>
        <v>0.22699999999999998</v>
      </c>
      <c r="G63" s="726">
        <f t="shared" ca="1" si="9"/>
        <v>0.26700000000000007</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3046.4632974771303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3046.4632974771303</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78515.406040117028</v>
      </c>
      <c r="C4" s="448">
        <f>huishoudens!C8</f>
        <v>0</v>
      </c>
      <c r="D4" s="448">
        <f>huishoudens!D8</f>
        <v>257030.92962859329</v>
      </c>
      <c r="E4" s="448">
        <f>huishoudens!E8</f>
        <v>0</v>
      </c>
      <c r="F4" s="448">
        <f>huishoudens!F8</f>
        <v>0</v>
      </c>
      <c r="G4" s="448">
        <f>huishoudens!G8</f>
        <v>0</v>
      </c>
      <c r="H4" s="448">
        <f>huishoudens!H8</f>
        <v>0</v>
      </c>
      <c r="I4" s="448">
        <f>huishoudens!I8</f>
        <v>0</v>
      </c>
      <c r="J4" s="448">
        <f>huishoudens!J8</f>
        <v>0</v>
      </c>
      <c r="K4" s="448">
        <f>huishoudens!K8</f>
        <v>0</v>
      </c>
      <c r="L4" s="448">
        <f>huishoudens!L8</f>
        <v>0</v>
      </c>
      <c r="M4" s="448">
        <f>huishoudens!M8</f>
        <v>0</v>
      </c>
      <c r="N4" s="448">
        <f>huishoudens!N8</f>
        <v>23027.867120011277</v>
      </c>
      <c r="O4" s="448">
        <f>huishoudens!O8</f>
        <v>120.37666666666668</v>
      </c>
      <c r="P4" s="449">
        <f>huishoudens!P8</f>
        <v>228.8</v>
      </c>
      <c r="Q4" s="450">
        <f>SUM(B4:P4)</f>
        <v>358923.37945538823</v>
      </c>
    </row>
    <row r="5" spans="1:17">
      <c r="A5" s="447" t="s">
        <v>149</v>
      </c>
      <c r="B5" s="448">
        <f ca="1">tertiair!B16</f>
        <v>94467.195642897408</v>
      </c>
      <c r="C5" s="448">
        <f ca="1">tertiair!C16</f>
        <v>0</v>
      </c>
      <c r="D5" s="448">
        <f ca="1">tertiair!D16</f>
        <v>125037.85940565536</v>
      </c>
      <c r="E5" s="448">
        <f>tertiair!E16</f>
        <v>656.26445477550885</v>
      </c>
      <c r="F5" s="448">
        <f ca="1">tertiair!F16</f>
        <v>13100.979164675662</v>
      </c>
      <c r="G5" s="448">
        <f>tertiair!G16</f>
        <v>0</v>
      </c>
      <c r="H5" s="448">
        <f>tertiair!H16</f>
        <v>0</v>
      </c>
      <c r="I5" s="448">
        <f>tertiair!I16</f>
        <v>0</v>
      </c>
      <c r="J5" s="448">
        <f>tertiair!J16</f>
        <v>82.63630908710492</v>
      </c>
      <c r="K5" s="448">
        <f>tertiair!K16</f>
        <v>0</v>
      </c>
      <c r="L5" s="448">
        <f ca="1">tertiair!L16</f>
        <v>0</v>
      </c>
      <c r="M5" s="448">
        <f>tertiair!M16</f>
        <v>0</v>
      </c>
      <c r="N5" s="448">
        <f ca="1">tertiair!N16</f>
        <v>6006.8964104056995</v>
      </c>
      <c r="O5" s="448">
        <f>tertiair!O16</f>
        <v>0</v>
      </c>
      <c r="P5" s="449">
        <f>tertiair!P16</f>
        <v>76.266666666666666</v>
      </c>
      <c r="Q5" s="447">
        <f t="shared" ref="Q5:Q14" ca="1" si="0">SUM(B5:P5)</f>
        <v>239428.09805416339</v>
      </c>
    </row>
    <row r="6" spans="1:17">
      <c r="A6" s="447" t="s">
        <v>187</v>
      </c>
      <c r="B6" s="448">
        <f>'openbare verlichting'!B8</f>
        <v>3335.1060000000002</v>
      </c>
      <c r="C6" s="448"/>
      <c r="D6" s="448"/>
      <c r="E6" s="448"/>
      <c r="F6" s="448"/>
      <c r="G6" s="448"/>
      <c r="H6" s="448"/>
      <c r="I6" s="448"/>
      <c r="J6" s="448"/>
      <c r="K6" s="448"/>
      <c r="L6" s="448"/>
      <c r="M6" s="448"/>
      <c r="N6" s="448"/>
      <c r="O6" s="448"/>
      <c r="P6" s="449"/>
      <c r="Q6" s="447">
        <f t="shared" si="0"/>
        <v>3335.1060000000002</v>
      </c>
    </row>
    <row r="7" spans="1:17">
      <c r="A7" s="447" t="s">
        <v>105</v>
      </c>
      <c r="B7" s="448">
        <f>landbouw!B8</f>
        <v>1672.0501816863198</v>
      </c>
      <c r="C7" s="448">
        <f>landbouw!C8</f>
        <v>0</v>
      </c>
      <c r="D7" s="448">
        <f>landbouw!D8</f>
        <v>781.55919993599741</v>
      </c>
      <c r="E7" s="448">
        <f>landbouw!E8</f>
        <v>34.719637389770604</v>
      </c>
      <c r="F7" s="448">
        <f>landbouw!F8</f>
        <v>5909.068007916313</v>
      </c>
      <c r="G7" s="448">
        <f>landbouw!G8</f>
        <v>0</v>
      </c>
      <c r="H7" s="448">
        <f>landbouw!H8</f>
        <v>0</v>
      </c>
      <c r="I7" s="448">
        <f>landbouw!I8</f>
        <v>0</v>
      </c>
      <c r="J7" s="448">
        <f>landbouw!J8</f>
        <v>191.77358040572472</v>
      </c>
      <c r="K7" s="448">
        <f>landbouw!K8</f>
        <v>0</v>
      </c>
      <c r="L7" s="448">
        <f>landbouw!L8</f>
        <v>0</v>
      </c>
      <c r="M7" s="448">
        <f>landbouw!M8</f>
        <v>0</v>
      </c>
      <c r="N7" s="448">
        <f>landbouw!N8</f>
        <v>0</v>
      </c>
      <c r="O7" s="448">
        <f>landbouw!O8</f>
        <v>0</v>
      </c>
      <c r="P7" s="449">
        <f>landbouw!P8</f>
        <v>0</v>
      </c>
      <c r="Q7" s="447">
        <f t="shared" si="0"/>
        <v>8589.1706073341247</v>
      </c>
    </row>
    <row r="8" spans="1:17">
      <c r="A8" s="447" t="s">
        <v>614</v>
      </c>
      <c r="B8" s="448">
        <f>industrie!B18</f>
        <v>12340.260542988311</v>
      </c>
      <c r="C8" s="448">
        <f>industrie!C18</f>
        <v>0</v>
      </c>
      <c r="D8" s="448">
        <f>industrie!D18</f>
        <v>11243.860885738632</v>
      </c>
      <c r="E8" s="448">
        <f>industrie!E18</f>
        <v>2045.4990655995487</v>
      </c>
      <c r="F8" s="448">
        <f>industrie!F18</f>
        <v>7884.1050634467638</v>
      </c>
      <c r="G8" s="448">
        <f>industrie!G18</f>
        <v>0</v>
      </c>
      <c r="H8" s="448">
        <f>industrie!H18</f>
        <v>0</v>
      </c>
      <c r="I8" s="448">
        <f>industrie!I18</f>
        <v>0</v>
      </c>
      <c r="J8" s="448">
        <f>industrie!J18</f>
        <v>10.05836638728705</v>
      </c>
      <c r="K8" s="448">
        <f>industrie!K18</f>
        <v>0</v>
      </c>
      <c r="L8" s="448">
        <f>industrie!L18</f>
        <v>0</v>
      </c>
      <c r="M8" s="448">
        <f>industrie!M18</f>
        <v>0</v>
      </c>
      <c r="N8" s="448">
        <f>industrie!N18</f>
        <v>1272.4479485549959</v>
      </c>
      <c r="O8" s="448">
        <f>industrie!O18</f>
        <v>0</v>
      </c>
      <c r="P8" s="449">
        <f>industrie!P18</f>
        <v>0</v>
      </c>
      <c r="Q8" s="447">
        <f t="shared" si="0"/>
        <v>34796.231872715543</v>
      </c>
    </row>
    <row r="9" spans="1:17" s="453" customFormat="1">
      <c r="A9" s="451" t="s">
        <v>555</v>
      </c>
      <c r="B9" s="452">
        <f>transport!B14</f>
        <v>11.493457670126391</v>
      </c>
      <c r="C9" s="452">
        <f>transport!C14</f>
        <v>0</v>
      </c>
      <c r="D9" s="452">
        <f>transport!D14</f>
        <v>11.275941293938622</v>
      </c>
      <c r="E9" s="452">
        <f>transport!E14</f>
        <v>398.52592225938668</v>
      </c>
      <c r="F9" s="452">
        <f>transport!F14</f>
        <v>0</v>
      </c>
      <c r="G9" s="452">
        <f>transport!G14</f>
        <v>113857.99023565734</v>
      </c>
      <c r="H9" s="452">
        <f>transport!H14</f>
        <v>20511.437203920788</v>
      </c>
      <c r="I9" s="452">
        <f>transport!I14</f>
        <v>0</v>
      </c>
      <c r="J9" s="452">
        <f>transport!J14</f>
        <v>0</v>
      </c>
      <c r="K9" s="452">
        <f>transport!K14</f>
        <v>0</v>
      </c>
      <c r="L9" s="452">
        <f>transport!L14</f>
        <v>0</v>
      </c>
      <c r="M9" s="452">
        <f>transport!M14</f>
        <v>6075.8129884148175</v>
      </c>
      <c r="N9" s="452">
        <f>transport!N14</f>
        <v>0</v>
      </c>
      <c r="O9" s="452">
        <f>transport!O14</f>
        <v>0</v>
      </c>
      <c r="P9" s="452">
        <f>transport!P14</f>
        <v>0</v>
      </c>
      <c r="Q9" s="451">
        <f>SUM(B9:P9)</f>
        <v>140866.53574921639</v>
      </c>
    </row>
    <row r="10" spans="1:17">
      <c r="A10" s="447" t="s">
        <v>545</v>
      </c>
      <c r="B10" s="448">
        <f>transport!B54</f>
        <v>620.57551016882326</v>
      </c>
      <c r="C10" s="448">
        <f>transport!C54</f>
        <v>0</v>
      </c>
      <c r="D10" s="448">
        <f>transport!D54</f>
        <v>0</v>
      </c>
      <c r="E10" s="448">
        <f>transport!E54</f>
        <v>0</v>
      </c>
      <c r="F10" s="448">
        <f>transport!F54</f>
        <v>0</v>
      </c>
      <c r="G10" s="448">
        <f>transport!G54</f>
        <v>1570.5154085846282</v>
      </c>
      <c r="H10" s="448">
        <f>transport!H54</f>
        <v>0</v>
      </c>
      <c r="I10" s="448">
        <f>transport!I54</f>
        <v>0</v>
      </c>
      <c r="J10" s="448">
        <f>transport!J54</f>
        <v>0</v>
      </c>
      <c r="K10" s="448">
        <f>transport!K54</f>
        <v>0</v>
      </c>
      <c r="L10" s="448">
        <f>transport!L54</f>
        <v>0</v>
      </c>
      <c r="M10" s="448">
        <f>transport!M54</f>
        <v>70.423230570570325</v>
      </c>
      <c r="N10" s="448">
        <f>transport!N54</f>
        <v>0</v>
      </c>
      <c r="O10" s="448">
        <f>transport!O54</f>
        <v>0</v>
      </c>
      <c r="P10" s="449">
        <f>transport!P54</f>
        <v>0</v>
      </c>
      <c r="Q10" s="447">
        <f t="shared" si="0"/>
        <v>2261.5141493240221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13664.262666898399</v>
      </c>
      <c r="C14" s="455"/>
      <c r="D14" s="455">
        <f>'SEAP template'!E25</f>
        <v>33667.535073461506</v>
      </c>
      <c r="E14" s="455"/>
      <c r="F14" s="455"/>
      <c r="G14" s="455"/>
      <c r="H14" s="455"/>
      <c r="I14" s="455"/>
      <c r="J14" s="455"/>
      <c r="K14" s="455"/>
      <c r="L14" s="455"/>
      <c r="M14" s="455"/>
      <c r="N14" s="455"/>
      <c r="O14" s="455"/>
      <c r="P14" s="456"/>
      <c r="Q14" s="447">
        <f t="shared" si="0"/>
        <v>47331.797740359907</v>
      </c>
    </row>
    <row r="15" spans="1:17" s="460" customFormat="1">
      <c r="A15" s="457" t="s">
        <v>549</v>
      </c>
      <c r="B15" s="458">
        <f ca="1">SUM(B4:B14)</f>
        <v>204626.35004242641</v>
      </c>
      <c r="C15" s="458">
        <f t="shared" ref="C15:Q15" ca="1" si="1">SUM(C4:C14)</f>
        <v>0</v>
      </c>
      <c r="D15" s="458">
        <f t="shared" ca="1" si="1"/>
        <v>427773.02013467869</v>
      </c>
      <c r="E15" s="458">
        <f t="shared" si="1"/>
        <v>3135.0090800242151</v>
      </c>
      <c r="F15" s="458">
        <f t="shared" ca="1" si="1"/>
        <v>26894.152236038739</v>
      </c>
      <c r="G15" s="458">
        <f t="shared" si="1"/>
        <v>115428.50564424197</v>
      </c>
      <c r="H15" s="458">
        <f t="shared" si="1"/>
        <v>20511.437203920788</v>
      </c>
      <c r="I15" s="458">
        <f t="shared" si="1"/>
        <v>0</v>
      </c>
      <c r="J15" s="458">
        <f t="shared" si="1"/>
        <v>284.46825588011666</v>
      </c>
      <c r="K15" s="458">
        <f t="shared" si="1"/>
        <v>0</v>
      </c>
      <c r="L15" s="458">
        <f t="shared" ca="1" si="1"/>
        <v>0</v>
      </c>
      <c r="M15" s="458">
        <f t="shared" si="1"/>
        <v>6146.2362189853875</v>
      </c>
      <c r="N15" s="458">
        <f t="shared" ca="1" si="1"/>
        <v>30307.211478971971</v>
      </c>
      <c r="O15" s="458">
        <f t="shared" si="1"/>
        <v>120.37666666666668</v>
      </c>
      <c r="P15" s="458">
        <f t="shared" si="1"/>
        <v>305.06666666666666</v>
      </c>
      <c r="Q15" s="458">
        <f t="shared" ca="1" si="1"/>
        <v>835531.83362850163</v>
      </c>
    </row>
    <row r="17" spans="1:17">
      <c r="A17" s="461" t="s">
        <v>550</v>
      </c>
      <c r="B17" s="731">
        <f ca="1">huishoudens!B10</f>
        <v>0.21770976690634977</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17093.570747551286</v>
      </c>
      <c r="C22" s="448">
        <f t="shared" ref="C22:C32" ca="1" si="3">C4*$C$17</f>
        <v>0</v>
      </c>
      <c r="D22" s="448">
        <f t="shared" ref="D22:D32" si="4">D4*$D$17</f>
        <v>51920.247784975851</v>
      </c>
      <c r="E22" s="448">
        <f t="shared" ref="E22:E32" si="5">E4*$E$17</f>
        <v>0</v>
      </c>
      <c r="F22" s="448">
        <f t="shared" ref="F22:F32" si="6">F4*$F$17</f>
        <v>0</v>
      </c>
      <c r="G22" s="448">
        <f t="shared" ref="G22:G32" si="7">G4*$G$17</f>
        <v>0</v>
      </c>
      <c r="H22" s="448">
        <f t="shared" ref="H22:H32" si="8">H4*$H$17</f>
        <v>0</v>
      </c>
      <c r="I22" s="448">
        <f t="shared" ref="I22:I32" si="9">I4*$I$17</f>
        <v>0</v>
      </c>
      <c r="J22" s="448">
        <f t="shared" ref="J22:J32" si="10">J4*$J$17</f>
        <v>0</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69013.818532527133</v>
      </c>
    </row>
    <row r="23" spans="1:17">
      <c r="A23" s="447" t="s">
        <v>149</v>
      </c>
      <c r="B23" s="448">
        <f t="shared" ca="1" si="2"/>
        <v>20566.431143711736</v>
      </c>
      <c r="C23" s="448">
        <f t="shared" ca="1" si="3"/>
        <v>0</v>
      </c>
      <c r="D23" s="448">
        <f t="shared" ca="1" si="4"/>
        <v>25257.647599942382</v>
      </c>
      <c r="E23" s="448">
        <f t="shared" si="5"/>
        <v>148.97203123404051</v>
      </c>
      <c r="F23" s="448">
        <f t="shared" ca="1" si="6"/>
        <v>3497.9614369684018</v>
      </c>
      <c r="G23" s="448">
        <f t="shared" si="7"/>
        <v>0</v>
      </c>
      <c r="H23" s="448">
        <f t="shared" si="8"/>
        <v>0</v>
      </c>
      <c r="I23" s="448">
        <f t="shared" si="9"/>
        <v>0</v>
      </c>
      <c r="J23" s="448">
        <f t="shared" si="10"/>
        <v>29.25325341683514</v>
      </c>
      <c r="K23" s="448">
        <f t="shared" si="11"/>
        <v>0</v>
      </c>
      <c r="L23" s="448">
        <f t="shared" ca="1" si="12"/>
        <v>0</v>
      </c>
      <c r="M23" s="448">
        <f t="shared" si="13"/>
        <v>0</v>
      </c>
      <c r="N23" s="448">
        <f t="shared" ca="1" si="14"/>
        <v>0</v>
      </c>
      <c r="O23" s="448">
        <f t="shared" si="15"/>
        <v>0</v>
      </c>
      <c r="P23" s="449">
        <f t="shared" si="16"/>
        <v>0</v>
      </c>
      <c r="Q23" s="447">
        <f t="shared" ref="Q23:Q32" ca="1" si="17">SUM(B23:P23)</f>
        <v>49500.265465273391</v>
      </c>
    </row>
    <row r="24" spans="1:17">
      <c r="A24" s="447" t="s">
        <v>187</v>
      </c>
      <c r="B24" s="448">
        <f t="shared" ca="1" si="2"/>
        <v>726.08514986796865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726.08514986796865</v>
      </c>
    </row>
    <row r="25" spans="1:17">
      <c r="A25" s="447" t="s">
        <v>105</v>
      </c>
      <c r="B25" s="448">
        <f t="shared" ca="1" si="2"/>
        <v>364.02165531064844</v>
      </c>
      <c r="C25" s="448">
        <f t="shared" ca="1" si="3"/>
        <v>0</v>
      </c>
      <c r="D25" s="448">
        <f t="shared" si="4"/>
        <v>157.8749583870715</v>
      </c>
      <c r="E25" s="448">
        <f t="shared" si="5"/>
        <v>7.8813576874779274</v>
      </c>
      <c r="F25" s="448">
        <f t="shared" si="6"/>
        <v>1577.7211581136557</v>
      </c>
      <c r="G25" s="448">
        <f t="shared" si="7"/>
        <v>0</v>
      </c>
      <c r="H25" s="448">
        <f t="shared" si="8"/>
        <v>0</v>
      </c>
      <c r="I25" s="448">
        <f t="shared" si="9"/>
        <v>0</v>
      </c>
      <c r="J25" s="448">
        <f t="shared" si="10"/>
        <v>67.887847463626542</v>
      </c>
      <c r="K25" s="448">
        <f t="shared" si="11"/>
        <v>0</v>
      </c>
      <c r="L25" s="448">
        <f t="shared" si="12"/>
        <v>0</v>
      </c>
      <c r="M25" s="448">
        <f t="shared" si="13"/>
        <v>0</v>
      </c>
      <c r="N25" s="448">
        <f t="shared" si="14"/>
        <v>0</v>
      </c>
      <c r="O25" s="448">
        <f t="shared" si="15"/>
        <v>0</v>
      </c>
      <c r="P25" s="449">
        <f t="shared" si="16"/>
        <v>0</v>
      </c>
      <c r="Q25" s="447">
        <f t="shared" ca="1" si="17"/>
        <v>2175.3869769624803</v>
      </c>
    </row>
    <row r="26" spans="1:17">
      <c r="A26" s="447" t="s">
        <v>614</v>
      </c>
      <c r="B26" s="448">
        <f t="shared" ca="1" si="2"/>
        <v>2686.5952463776107</v>
      </c>
      <c r="C26" s="448">
        <f t="shared" ca="1" si="3"/>
        <v>0</v>
      </c>
      <c r="D26" s="448">
        <f t="shared" si="4"/>
        <v>2271.2598989192038</v>
      </c>
      <c r="E26" s="448">
        <f t="shared" si="5"/>
        <v>464.32828789109755</v>
      </c>
      <c r="F26" s="448">
        <f t="shared" si="6"/>
        <v>2105.0560519402861</v>
      </c>
      <c r="G26" s="448">
        <f t="shared" si="7"/>
        <v>0</v>
      </c>
      <c r="H26" s="448">
        <f t="shared" si="8"/>
        <v>0</v>
      </c>
      <c r="I26" s="448">
        <f t="shared" si="9"/>
        <v>0</v>
      </c>
      <c r="J26" s="448">
        <f t="shared" si="10"/>
        <v>3.5606617010996153</v>
      </c>
      <c r="K26" s="448">
        <f t="shared" si="11"/>
        <v>0</v>
      </c>
      <c r="L26" s="448">
        <f t="shared" si="12"/>
        <v>0</v>
      </c>
      <c r="M26" s="448">
        <f t="shared" si="13"/>
        <v>0</v>
      </c>
      <c r="N26" s="448">
        <f t="shared" si="14"/>
        <v>0</v>
      </c>
      <c r="O26" s="448">
        <f t="shared" si="15"/>
        <v>0</v>
      </c>
      <c r="P26" s="449">
        <f t="shared" si="16"/>
        <v>0</v>
      </c>
      <c r="Q26" s="447">
        <f t="shared" ca="1" si="17"/>
        <v>7530.8001468292987</v>
      </c>
    </row>
    <row r="27" spans="1:17" s="453" customFormat="1">
      <c r="A27" s="451" t="s">
        <v>555</v>
      </c>
      <c r="B27" s="725">
        <f t="shared" ca="1" si="2"/>
        <v>2.5022379903112144</v>
      </c>
      <c r="C27" s="452">
        <f t="shared" ca="1" si="3"/>
        <v>0</v>
      </c>
      <c r="D27" s="452">
        <f t="shared" si="4"/>
        <v>2.277740141375602</v>
      </c>
      <c r="E27" s="452">
        <f t="shared" si="5"/>
        <v>90.465384352880776</v>
      </c>
      <c r="F27" s="452">
        <f t="shared" si="6"/>
        <v>0</v>
      </c>
      <c r="G27" s="452">
        <f t="shared" si="7"/>
        <v>30400.083392920511</v>
      </c>
      <c r="H27" s="452">
        <f t="shared" si="8"/>
        <v>5107.3478637762764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35602.676619181359</v>
      </c>
    </row>
    <row r="28" spans="1:17">
      <c r="A28" s="447" t="s">
        <v>545</v>
      </c>
      <c r="B28" s="448">
        <f t="shared" ca="1" si="2"/>
        <v>135.1053496666436</v>
      </c>
      <c r="C28" s="448">
        <f t="shared" ca="1" si="3"/>
        <v>0</v>
      </c>
      <c r="D28" s="448">
        <f t="shared" si="4"/>
        <v>0</v>
      </c>
      <c r="E28" s="448">
        <f t="shared" si="5"/>
        <v>0</v>
      </c>
      <c r="F28" s="448">
        <f t="shared" si="6"/>
        <v>0</v>
      </c>
      <c r="G28" s="448">
        <f t="shared" si="7"/>
        <v>419.32761409209576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554.43296375873933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2974.8434401575878</v>
      </c>
      <c r="C32" s="448">
        <f t="shared" ca="1" si="3"/>
        <v>0</v>
      </c>
      <c r="D32" s="448">
        <f t="shared" si="4"/>
        <v>6800.8420848392243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9775.6855249968121</v>
      </c>
    </row>
    <row r="33" spans="1:17" s="460" customFormat="1">
      <c r="A33" s="457" t="s">
        <v>549</v>
      </c>
      <c r="B33" s="458">
        <f ca="1">SUM(B22:B32)</f>
        <v>44549.15497063379</v>
      </c>
      <c r="C33" s="458">
        <f t="shared" ref="C33:Q33" ca="1" si="18">SUM(C22:C32)</f>
        <v>0</v>
      </c>
      <c r="D33" s="458">
        <f t="shared" ca="1" si="18"/>
        <v>86410.150067205104</v>
      </c>
      <c r="E33" s="458">
        <f t="shared" si="18"/>
        <v>711.64706116549667</v>
      </c>
      <c r="F33" s="458">
        <f t="shared" ca="1" si="18"/>
        <v>7180.7386470223437</v>
      </c>
      <c r="G33" s="458">
        <f t="shared" si="18"/>
        <v>30819.411007012608</v>
      </c>
      <c r="H33" s="458">
        <f t="shared" si="18"/>
        <v>5107.3478637762764</v>
      </c>
      <c r="I33" s="458">
        <f t="shared" si="18"/>
        <v>0</v>
      </c>
      <c r="J33" s="458">
        <f t="shared" si="18"/>
        <v>100.7017625815613</v>
      </c>
      <c r="K33" s="458">
        <f t="shared" si="18"/>
        <v>0</v>
      </c>
      <c r="L33" s="458">
        <f t="shared" ca="1" si="18"/>
        <v>0</v>
      </c>
      <c r="M33" s="458">
        <f t="shared" si="18"/>
        <v>0</v>
      </c>
      <c r="N33" s="458">
        <f t="shared" ca="1" si="18"/>
        <v>0</v>
      </c>
      <c r="O33" s="458">
        <f t="shared" si="18"/>
        <v>0</v>
      </c>
      <c r="P33" s="458">
        <f t="shared" si="18"/>
        <v>0</v>
      </c>
      <c r="Q33" s="458">
        <f t="shared" ca="1" si="18"/>
        <v>174879.15137939717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3046.4632974771303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3046.4632974771303</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0.21770976690634977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0.21770976690634977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2022-07-26T12:01:51Z</dcterms:modified>
</cp:coreProperties>
</file>