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774DCE79-F353-47A2-8FB4-74C0D78D332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<sst xmlns="http://schemas.openxmlformats.org/spreadsheetml/2006/main" count="2441" uniqueCount="908">
  <si>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</si>
  <si>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</si>
  <si>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</si>
  <si>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</si>
  <si>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</si>
  <si>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</si>
  <si>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</si>
  <si>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</si>
  <si>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</si>
  <si>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</si>
  <si>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</si>
  <si>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</si>
  <si>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</si>
  <si>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</si>
  <si>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</si>
  <si>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</si>
  <si>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</si>
  <si>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</si>
  <si>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</si>
  <si>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</si>
  <si>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</si>
  <si>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</si>
  <si>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</si>
  <si>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</si>
  <si>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</si>
  <si>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</si>
  <si>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</si>
  <si>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</si>
  <si>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</si>
  <si>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</si>
  <si>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</si>
  <si>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</si>
  <si>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</si>
  <si>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</si>
  <si>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</si>
  <si>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</si>
  <si>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</si>
  <si>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</si>
  <si>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</si>
  <si>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</si>
  <si>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</si>
  <si>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</si>
  <si>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</si>
  <si>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</si>
  <si>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</si>
  <si>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</si>
  <si>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</si>
  <si>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</si>
  <si>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</si>
  <si>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</si>
  <si>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</si>
  <si>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</si>
  <si>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</si>
  <si>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</si>
  <si>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</si>
  <si>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</si>
  <si>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</si>
  <si>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</si>
  <si>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</si>
  <si>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</si>
  <si>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</si>
  <si>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</si>
  <si>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</si>
  <si>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</si>
  <si>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</si>
  <si>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</si>
  <si>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</si>
  <si>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</si>
  <si>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</si>
  <si>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</si>
  <si>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</si>
  <si>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</si>
  <si>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</si>
  <si>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</si>
  <si>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</si>
  <si>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</si>
  <si>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</si>
  <si>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</si>
  <si>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</si>
  <si>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</si>
  <si>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</si>
  <si>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</si>
  <si>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</si>
  <si>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</si>
  <si>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</si>
  <si>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</si>
  <si>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</si>
  <si>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</si>
  <si>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</si>
  <si>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</si>
  <si>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</si>
  <si>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</si>
  <si>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</si>
  <si>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</si>
  <si>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</si>
  <si>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</si>
  <si>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</si>
  <si>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</si>
  <si>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</si>
  <si>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</si>
  <si>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</si>
  <si>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</si>
  <si>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</si>
  <si>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</si>
  <si>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</si>
  <si>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</si>
  <si>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</si>
  <si>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</si>
  <si>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</si>
  <si>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</si>
  <si>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</si>
  <si>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</si>
  <si>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</si>
  <si>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</si>
  <si>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</si>
  <si>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</si>
  <si>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</si>
  <si>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</si>
  <si>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</si>
  <si>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</si>
  <si>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</si>
  <si>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</si>
  <si>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</si>
  <si>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</si>
  <si>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</si>
  <si>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</si>
  <si>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</si>
  <si>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</si>
  <si>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</si>
  <si>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</si>
  <si>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</si>
  <si>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</si>
  <si>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</si>
  <si>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</si>
  <si>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</si>
  <si>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</si>
  <si>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</si>
  <si>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</si>
  <si>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</si>
  <si>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</si>
  <si>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</si>
  <si>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</si>
  <si>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</si>
  <si>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</si>
  <si>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</si>
  <si>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</si>
  <si>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</si>
  <si>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</si>
  <si>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</si>
  <si>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</si>
  <si>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</si>
  <si>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</si>
  <si>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</si>
  <si>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</si>
  <si>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</si>
  <si>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</si>
  <si>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</si>
  <si>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</si>
  <si>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</si>
  <si>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</si>
  <si>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</si>
  <si>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</si>
  <si>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</si>
  <si>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</si>
  <si>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</si>
  <si>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</si>
  <si>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</si>
  <si>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</si>
  <si>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</si>
  <si>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</si>
  <si>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</si>
  <si>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</si>
  <si>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</si>
  <si>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</si>
  <si>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</si>
  <si>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</si>
  <si>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</si>
  <si>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</si>
  <si>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</si>
  <si>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</si>
  <si>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</si>
  <si>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</si>
  <si>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</si>
  <si>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</si>
  <si>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</si>
  <si>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</si>
  <si>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</si>
  <si>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</si>
  <si>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</si>
  <si>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</si>
  <si>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</si>
  <si>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</si>
  <si>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</si>
  <si>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</si>
  <si>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</si>
  <si>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</si>
  <si>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</si>
  <si>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</si>
  <si>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</si>
  <si>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</si>
  <si>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</si>
  <si>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</si>
  <si>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</si>
  <si>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</si>
  <si>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</si>
  <si>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</si>
  <si>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</si>
  <si>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</si>
  <si>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</si>
  <si>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</si>
  <si>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</si>
  <si>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</si>
  <si>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</si>
  <si>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</si>
  <si>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</si>
  <si>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</si>
  <si>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</si>
  <si>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</si>
  <si>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</si>
  <si>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</si>
  <si>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</si>
  <si>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</si>
  <si>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</si>
  <si>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</si>
  <si>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</si>
  <si>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</si>
  <si>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</si>
  <si>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</si>
  <si>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</si>
  <si>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</si>
  <si>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</si>
  <si>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</si>
  <si>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</si>
  <si>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</si>
  <si>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</si>
  <si>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</si>
  <si>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</si>
  <si>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</si>
  <si>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</si>
  <si>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</si>
  <si>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</si>
  <si>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</si>
  <si>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</si>
  <si>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</si>
  <si>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</si>
  <si>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</si>
  <si>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</si>
  <si>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</si>
  <si>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</si>
  <si>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</si>
  <si>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</si>
  <si>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</si>
  <si>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</si>
  <si>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</si>
  <si>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</si>
  <si>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</si>
  <si>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</si>
  <si>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</si>
  <si>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</si>
  <si>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</si>
  <si>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</si>
  <si>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</si>
  <si>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</si>
  <si>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</si>
  <si>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</si>
  <si>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</si>
  <si>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</si>
  <si>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</si>
  <si>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</si>
  <si>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</si>
  <si>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</si>
  <si>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</si>
  <si>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</si>
  <si>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</si>
  <si>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</si>
  <si>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</si>
  <si>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</si>
  <si>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</si>
  <si>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</si>
  <si>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</si>
  <si>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</si>
  <si>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</si>
  <si>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</si>
  <si>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</si>
  <si>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</si>
  <si>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</si>
  <si>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</si>
  <si>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</si>
  <si>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</si>
  <si>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</si>
  <si>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</si>
  <si>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</si>
  <si>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</si>
  <si>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</si>
  <si>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</si>
  <si>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</si>
  <si>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</si>
  <si>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</si>
  <si>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</si>
  <si>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</si>
  <si>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</si>
  <si>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</si>
  <si>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</si>
  <si>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</si>
  <si>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</si>
  <si>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</si>
  <si>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</si>
  <si>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</si>
  <si>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</si>
  <si>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</si>
  <si>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</si>
  <si>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</si>
  <si>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</si>
  <si>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</si>
  <si>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</si>
  <si>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</si>
  <si>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</si>
  <si>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</si>
  <si>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</si>
  <si>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</si>
  <si>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</si>
  <si>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</si>
  <si>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</si>
  <si>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</si>
  <si>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</si>
  <si>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</si>
  <si>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</si>
  <si>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</si>
  <si>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</si>
  <si>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</si>
  <si>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</si>
  <si>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</si>
  <si>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</si>
  <si>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</si>
  <si>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</si>
  <si>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</si>
  <si>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</si>
  <si>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</si>
  <si>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</si>
  <si>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</si>
  <si>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</si>
  <si>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</si>
  <si>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</si>
  <si>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</si>
  <si>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</si>
  <si>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</si>
  <si>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</si>
  <si>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</si>
  <si>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</si>
  <si>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</si>
  <si>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</si>
  <si>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</si>
  <si>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</si>
  <si>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</si>
  <si>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</si>
  <si>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</si>
  <si>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</si>
  <si>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</si>
  <si>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</si>
  <si>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</si>
  <si>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</si>
  <si>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</si>
  <si>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</si>
  <si>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</si>
  <si>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</si>
  <si>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</si>
  <si>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</si>
  <si>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</si>
  <si>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</si>
  <si>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</si>
  <si>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</si>
  <si>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</si>
  <si>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</si>
  <si>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</si>
  <si>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</si>
  <si>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</si>
  <si>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</si>
  <si>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</si>
  <si>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</si>
  <si>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</si>
  <si>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</si>
  <si>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</si>
  <si>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</si>
  <si>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</si>
  <si>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</si>
  <si>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</si>
  <si>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</si>
  <si>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</si>
  <si>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</si>
  <si>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</si>
  <si>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</si>
  <si>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</si>
  <si>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</si>
  <si>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</si>
  <si>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</si>
  <si>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</si>
  <si>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</si>
  <si>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</si>
  <si>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</si>
  <si>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</si>
  <si>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</si>
  <si>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</si>
  <si>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</si>
  <si>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</si>
  <si>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</si>
  <si>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</si>
  <si>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</si>
  <si>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</si>
  <si>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</si>
  <si>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</si>
  <si>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</si>
  <si>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</si>
  <si>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</si>
  <si>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</si>
  <si>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</si>
  <si>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</si>
  <si>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</si>
  <si>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</si>
  <si>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</si>
  <si>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</si>
  <si>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</si>
  <si>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</si>
  <si>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</si>
  <si>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</si>
  <si>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</si>
  <si>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</si>
  <si>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</si>
  <si>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</si>
  <si>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</si>
  <si>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</si>
  <si>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</si>
  <si>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</si>
  <si>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</si>
  <si>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</si>
  <si>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</si>
  <si>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</si>
  <si>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</si>
  <si>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</si>
  <si>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</si>
  <si>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</si>
  <si>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</si>
  <si>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</si>
  <si>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</si>
  <si>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</si>
  <si>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</si>
  <si>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</si>
  <si>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</si>
  <si>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</si>
  <si>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</si>
  <si>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</si>
  <si>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</si>
  <si>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</si>
  <si>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</si>
  <si>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</si>
  <si>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</si>
  <si>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</si>
  <si>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</si>
  <si>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</si>
  <si>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</si>
  <si>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</si>
  <si>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</si>
  <si>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</si>
  <si>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</si>
  <si>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</si>
  <si>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</si>
  <si>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</si>
  <si>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</si>
  <si>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</si>
  <si>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</si>
  <si>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</si>
  <si>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</si>
  <si>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</si>
  <si>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</si>
  <si>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</si>
  <si>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</si>
  <si>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</si>
  <si>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</si>
  <si>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</si>
  <si>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</si>
  <si>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</si>
  <si>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</si>
  <si>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</si>
  <si>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</si>
  <si>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</si>
  <si>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</si>
  <si>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</si>
  <si>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</si>
  <si>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</si>
  <si>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</si>
  <si>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</si>
  <si>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</si>
  <si>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</si>
  <si>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</si>
  <si>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</si>
  <si>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</si>
  <si>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</si>
  <si>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</si>
  <si>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</si>
  <si>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</si>
  <si>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</si>
  <si>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</si>
  <si>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</si>
  <si>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</si>
  <si>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</si>
  <si>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</si>
  <si>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</si>
  <si>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</si>
  <si>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</si>
  <si>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</si>
  <si>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</si>
  <si>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</si>
  <si>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</si>
  <si>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</si>
  <si>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</si>
  <si>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</si>
  <si>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</si>
  <si>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</si>
  <si>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</si>
  <si>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</si>
  <si>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</si>
  <si>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</si>
  <si>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</si>
  <si>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</si>
  <si>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</si>
  <si>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</si>
  <si>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</si>
  <si>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</si>
  <si>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</si>
  <si>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</si>
  <si>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</si>
  <si>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</si>
  <si>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</si>
  <si>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</si>
  <si>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</si>
  <si>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</si>
  <si>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</si>
  <si>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</si>
  <si>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</si>
  <si>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</si>
  <si>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</si>
  <si>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</si>
  <si>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</si>
  <si>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</si>
  <si>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</si>
  <si>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</si>
  <si>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</si>
  <si>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</si>
  <si>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</si>
  <si>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</si>
  <si>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</si>
  <si>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</si>
  <si>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</si>
  <si>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</si>
  <si>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</si>
  <si>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</si>
  <si>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</si>
  <si>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</si>
  <si>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</si>
  <si>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</si>
  <si>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</si>
  <si>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</si>
  <si>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</si>
  <si>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</si>
  <si>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</si>
  <si>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</si>
  <si>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</si>
  <si>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</si>
  <si>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</si>
  <si>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</si>
  <si>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</si>
  <si>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</si>
  <si>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</si>
  <si>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</si>
  <si>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</si>
  <si>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</si>
  <si>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</si>
  <si>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</si>
  <si>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</si>
  <si>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</si>
  <si>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</si>
  <si>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</si>
  <si>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</si>
  <si>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</si>
  <si>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</si>
  <si>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</si>
  <si>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</si>
  <si>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</si>
  <si>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</si>
  <si>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</si>
  <si>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</si>
  <si>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</si>
  <si>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</si>
  <si>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</si>
  <si>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</si>
  <si>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</si>
  <si>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</si>
  <si>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</si>
  <si>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</si>
  <si>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</si>
  <si>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</si>
  <si>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</si>
  <si>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</si>
  <si>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</si>
  <si>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</si>
  <si>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</si>
  <si>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</si>
  <si>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</si>
  <si>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</si>
  <si>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</si>
  <si>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</si>
  <si>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</si>
  <si>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</si>
  <si>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</si>
  <si>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</si>
  <si>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</si>
  <si>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</si>
  <si>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</si>
  <si>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</si>
  <si>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</si>
  <si>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</si>
  <si>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</si>
  <si>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</si>
  <si>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</si>
  <si>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</si>
  <si>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</si>
  <si>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</si>
  <si>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</si>
  <si>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</si>
  <si>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</si>
  <si>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</si>
  <si>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</si>
  <si>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</si>
  <si>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</si>
  <si>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</si>
  <si>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</si>
  <si>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</si>
  <si>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</si>
  <si>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</si>
  <si>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</si>
  <si>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</si>
  <si>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</si>
  <si>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</si>
  <si>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</si>
  <si>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</si>
  <si>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</si>
  <si>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</si>
  <si>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</si>
  <si>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</si>
  <si>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</si>
  <si>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</si>
  <si>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</si>
  <si>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</si>
  <si>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</si>
  <si>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</si>
  <si>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</si>
  <si>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</si>
  <si>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</si>
  <si>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</si>
  <si>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</si>
  <si>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</si>
  <si>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</si>
  <si>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</si>
  <si>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</si>
  <si>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</si>
  <si>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</si>
  <si>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</si>
  <si>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</si>
  <si>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</si>
  <si>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</si>
  <si>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</si>
  <si>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</si>
  <si>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</si>
  <si>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</si>
  <si>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</si>
  <si>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</si>
  <si>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</si>
  <si>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</si>
  <si>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</si>
  <si>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</si>
  <si>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</si>
  <si>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</si>
  <si>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</si>
  <si>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</si>
  <si>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</si>
  <si>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</si>
  <si>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</si>
  <si>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</si>
  <si>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</si>
  <si>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</si>
  <si>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</si>
  <si>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</si>
  <si>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</si>
  <si>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</si>
  <si>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</si>
  <si>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</si>
  <si>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</si>
  <si>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</si>
  <si>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</si>
  <si>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</si>
  <si>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</si>
  <si>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</si>
  <si>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</si>
  <si>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</si>
  <si>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</si>
  <si>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</si>
  <si>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</si>
  <si>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</si>
  <si>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</si>
  <si>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</si>
  <si>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</si>
  <si>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</si>
  <si>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</si>
  <si>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</si>
  <si>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</si>
  <si>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</si>
  <si>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</si>
  <si>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</si>
  <si>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</si>
  <si>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</si>
  <si>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</si>
  <si>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</si>
  <si>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</si>
  <si>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</si>
  <si>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</si>
  <si>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</si>
  <si>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</si>
  <si>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</si>
  <si>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</si>
  <si>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</si>
  <si>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</si>
  <si>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</si>
  <si>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</si>
  <si>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</si>
  <si>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</si>
  <si>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</si>
  <si>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</si>
  <si>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</si>
  <si>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</si>
  <si>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</si>
  <si>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</si>
  <si>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</si>
  <si>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</si>
  <si>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</si>
  <si>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</si>
  <si>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</si>
  <si>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</si>
  <si>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</si>
  <si>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</si>
  <si>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</si>
  <si>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</si>
  <si>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</si>
  <si>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</si>
  <si>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</si>
  <si>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</si>
  <si>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</si>
  <si>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</si>
  <si>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</si>
  <si>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</si>
  <si>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</si>
  <si>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</si>
  <si>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</si>
  <si>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</si>
  <si>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</si>
  <si>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</si>
  <si>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</si>
  <si>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</si>
  <si>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</si>
  <si>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</si>
  <si>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</si>
  <si>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</si>
  <si>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</si>
  <si>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</si>
  <si>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</si>
  <si>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</si>
  <si>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</si>
  <si>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</si>
  <si>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</si>
  <si>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</si>
  <si>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</si>
  <si>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</si>
  <si>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</si>
  <si>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</si>
  <si>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</si>
  <si>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</si>
  <si>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</si>
  <si>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</si>
  <si>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</si>
  <si>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</si>
  <si>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</si>
  <si>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</si>
  <si>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</si>
  <si>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</si>
  <si>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</si>
  <si>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</si>
  <si>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</si>
  <si>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</si>
  <si>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</si>
  <si>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</si>
  <si>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</si>
  <si>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</si>
  <si>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</si>
  <si>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</si>
  <si>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</si>
  <si>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</si>
  <si>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</si>
  <si>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</si>
  <si>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</si>
  <si>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</si>
  <si>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</si>
  <si>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</si>
  <si>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</si>
  <si>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</si>
  <si>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</si>
  <si>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</si>
  <si>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</si>
  <si>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</si>
  <si>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</si>
  <si>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</si>
  <si>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</si>
  <si>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</si>
  <si>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</si>
  <si>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</si>
  <si>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</si>
  <si>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</si>
  <si>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</si>
  <si>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</si>
  <si>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</si>
  <si>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</si>
  <si>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</si>
  <si>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</si>
  <si>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</si>
  <si>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</si>
  <si>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</si>
  <si>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</si>
  <si>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</si>
  <si>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</si>
  <si>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</si>
  <si>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</si>
  <si>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</si>
  <si>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</si>
  <si>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</si>
  <si>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</si>
  <si>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</si>
  <si>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</si>
  <si>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</si>
  <si>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</si>
  <si>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</si>
  <si>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</si>
  <si>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</si>
  <si>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</si>
  <si>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</si>
  <si>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</si>
  <si>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</si>
  <si>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</si>
  <si>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</si>
  <si>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</si>
  <si>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</si>
  <si>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</si>
  <si>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</si>
  <si>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</si>
  <si>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</si>
  <si>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</si>
  <si>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</si>
  <si>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</si>
  <si>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</si>
  <si>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</si>
  <si>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</si>
  <si>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</si>
  <si>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</si>
  <si>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</si>
  <si>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</si>
  <si>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</si>
  <si>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</si>
  <si>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</si>
  <si>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</si>
  <si>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</si>
  <si>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</si>
  <si>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</si>
  <si>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</si>
  <si>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</si>
  <si>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</si>
  <si>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</si>
  <si>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</si>
  <si>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</si>
  <si>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</si>
  <si>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</si>
  <si>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</si>
  <si>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</si>
  <si>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</si>
  <si>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</si>
  <si>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</si>
  <si>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</si>
  <si>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</si>
  <si>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</si>
  <si>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</si>
  <si>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</si>
  <si>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</si>
  <si>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</si>
  <si>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</si>
  <si>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</si>
  <si>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</si>
  <si>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</si>
  <si>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24054</t>
  </si>
  <si>
    <t>KORTENAKEN</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</si>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</sst>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D704A116-CD5B-430F-9DB7-0A82F5E24769}"/>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79154.729983052021</c:v>
                </c:pt>
                <c:pt idx="1">
                  <c:v>5135.7408636664004</c:v>
                </c:pt>
                <c:pt idx="2">
                  <c:v>663.69</c:v>
                </c:pt>
                <c:pt idx="3">
                  <c:v>16976.443833978701</c:v>
                </c:pt>
                <c:pt idx="4">
                  <c:v>3134.3442091922229</c:v>
                </c:pt>
                <c:pt idx="5">
                  <c:v>34409.597417566867</c:v>
                </c:pt>
                <c:pt idx="6">
                  <c:v>628.85515089012677</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79154.729983052021</c:v>
                </c:pt>
                <c:pt idx="1">
                  <c:v>5135.7408636664004</c:v>
                </c:pt>
                <c:pt idx="2">
                  <c:v>663.69</c:v>
                </c:pt>
                <c:pt idx="3">
                  <c:v>16976.443833978701</c:v>
                </c:pt>
                <c:pt idx="4">
                  <c:v>3134.3442091922229</c:v>
                </c:pt>
                <c:pt idx="5">
                  <c:v>34409.597417566867</c:v>
                </c:pt>
                <c:pt idx="6">
                  <c:v>628.85515089012677</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17827.458420825194</c:v>
                </c:pt>
                <c:pt idx="2">
                  <c:v>990.55161416771284</c:v>
                </c:pt>
                <c:pt idx="3">
                  <c:v>125.75548990597238</c:v>
                </c:pt>
                <c:pt idx="4">
                  <c:v>4278.3901244534873</c:v>
                </c:pt>
                <c:pt idx="5">
                  <c:v>655.93834228598644</c:v>
                </c:pt>
                <c:pt idx="6">
                  <c:v>8681.2369761526461</c:v>
                </c:pt>
                <c:pt idx="7">
                  <c:v>160.49519743437457</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17827.458420825194</c:v>
                </c:pt>
                <c:pt idx="2">
                  <c:v>990.55161416771284</c:v>
                </c:pt>
                <c:pt idx="3">
                  <c:v>125.75548990597238</c:v>
                </c:pt>
                <c:pt idx="4">
                  <c:v>4278.3901244534873</c:v>
                </c:pt>
                <c:pt idx="5">
                  <c:v>655.93834228598644</c:v>
                </c:pt>
                <c:pt idx="6">
                  <c:v>8681.2369761526461</c:v>
                </c:pt>
                <c:pt idx="7">
                  <c:v>160.49519743437457</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24054</v>
      </c>
      <c r="B6" s="385"/>
      <c r="C6" s="386"/>
    </row>
    <row r="7" spans="1:7" s="383" customFormat="1" ht="15.75" customHeight="1">
      <c r="A7" s="387" t="str">
        <f>txtMunicipality</f>
        <v>KORTENAKEN</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0.18947925975375909</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0.18947925975375909</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3172</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3082</v>
      </c>
      <c r="C14" s="327"/>
      <c r="D14" s="327"/>
      <c r="E14" s="327"/>
      <c r="F14" s="327"/>
    </row>
    <row r="15" spans="1:6">
      <c r="A15" s="1258" t="s">
        <v>177</v>
      </c>
      <c r="B15" s="1259">
        <v>14</v>
      </c>
      <c r="C15" s="327"/>
      <c r="D15" s="327"/>
      <c r="E15" s="327"/>
      <c r="F15" s="327"/>
    </row>
    <row r="16" spans="1:6">
      <c r="A16" s="1258" t="s">
        <v>6</v>
      </c>
      <c r="B16" s="1259">
        <v>500</v>
      </c>
      <c r="C16" s="327"/>
      <c r="D16" s="327"/>
      <c r="E16" s="327"/>
      <c r="F16" s="327"/>
    </row>
    <row r="17" spans="1:6">
      <c r="A17" s="1258" t="s">
        <v>7</v>
      </c>
      <c r="B17" s="1259">
        <v>675</v>
      </c>
      <c r="C17" s="327"/>
      <c r="D17" s="327"/>
      <c r="E17" s="327"/>
      <c r="F17" s="327"/>
    </row>
    <row r="18" spans="1:6">
      <c r="A18" s="1258" t="s">
        <v>8</v>
      </c>
      <c r="B18" s="1259">
        <v>915</v>
      </c>
      <c r="C18" s="327"/>
      <c r="D18" s="327"/>
      <c r="E18" s="327"/>
      <c r="F18" s="327"/>
    </row>
    <row r="19" spans="1:6">
      <c r="A19" s="1258" t="s">
        <v>9</v>
      </c>
      <c r="B19" s="1259">
        <v>774</v>
      </c>
      <c r="C19" s="327"/>
      <c r="D19" s="327"/>
      <c r="E19" s="327"/>
      <c r="F19" s="327"/>
    </row>
    <row r="20" spans="1:6">
      <c r="A20" s="1258" t="s">
        <v>10</v>
      </c>
      <c r="B20" s="1259">
        <v>463</v>
      </c>
      <c r="C20" s="327"/>
      <c r="D20" s="327"/>
      <c r="E20" s="327"/>
      <c r="F20" s="327"/>
    </row>
    <row r="21" spans="1:6">
      <c r="A21" s="1258" t="s">
        <v>11</v>
      </c>
      <c r="B21" s="1259">
        <v>5139</v>
      </c>
      <c r="C21" s="327"/>
      <c r="D21" s="327"/>
      <c r="E21" s="327"/>
      <c r="F21" s="327"/>
    </row>
    <row r="22" spans="1:6">
      <c r="A22" s="1258" t="s">
        <v>12</v>
      </c>
      <c r="B22" s="1259">
        <v>9308</v>
      </c>
      <c r="C22" s="327"/>
      <c r="D22" s="327"/>
      <c r="E22" s="327"/>
      <c r="F22" s="327"/>
    </row>
    <row r="23" spans="1:6">
      <c r="A23" s="1258" t="s">
        <v>13</v>
      </c>
      <c r="B23" s="1259">
        <v>199</v>
      </c>
      <c r="C23" s="327"/>
      <c r="D23" s="327"/>
      <c r="E23" s="327"/>
      <c r="F23" s="327"/>
    </row>
    <row r="24" spans="1:6">
      <c r="A24" s="1258" t="s">
        <v>14</v>
      </c>
      <c r="B24" s="1259">
        <v>23</v>
      </c>
      <c r="C24" s="327"/>
      <c r="D24" s="327"/>
      <c r="E24" s="327"/>
      <c r="F24" s="327"/>
    </row>
    <row r="25" spans="1:6">
      <c r="A25" s="1258" t="s">
        <v>15</v>
      </c>
      <c r="B25" s="1259">
        <v>1081</v>
      </c>
      <c r="C25" s="327"/>
      <c r="D25" s="327"/>
      <c r="E25" s="327"/>
      <c r="F25" s="327"/>
    </row>
    <row r="26" spans="1:6">
      <c r="A26" s="1258" t="s">
        <v>16</v>
      </c>
      <c r="B26" s="1259">
        <v>254</v>
      </c>
      <c r="C26" s="327"/>
      <c r="D26" s="327"/>
      <c r="E26" s="327"/>
      <c r="F26" s="327"/>
    </row>
    <row r="27" spans="1:6">
      <c r="A27" s="1258" t="s">
        <v>17</v>
      </c>
      <c r="B27" s="1259">
        <v>614</v>
      </c>
      <c r="C27" s="327"/>
      <c r="D27" s="327"/>
      <c r="E27" s="327"/>
      <c r="F27" s="327"/>
    </row>
    <row r="28" spans="1:6">
      <c r="A28" s="1258" t="s">
        <v>18</v>
      </c>
      <c r="B28" s="1260">
        <v>0</v>
      </c>
      <c r="C28" s="327"/>
      <c r="D28" s="327"/>
      <c r="E28" s="327"/>
      <c r="F28" s="327"/>
    </row>
    <row r="29" spans="1:6">
      <c r="A29" s="1258" t="s">
        <v>905</v>
      </c>
      <c r="B29" s="1260">
        <v>133</v>
      </c>
      <c r="C29" s="327"/>
      <c r="D29" s="327"/>
      <c r="E29" s="327"/>
      <c r="F29" s="327"/>
    </row>
    <row r="30" spans="1:6">
      <c r="A30" s="1253" t="s">
        <v>906</v>
      </c>
      <c r="B30" s="1261">
        <v>37</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5</v>
      </c>
      <c r="F36" s="1259">
        <v>8223</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481</v>
      </c>
      <c r="D39" s="1259">
        <v>9347920</v>
      </c>
      <c r="E39" s="1259">
        <v>3035</v>
      </c>
      <c r="F39" s="1259">
        <v>12370099</v>
      </c>
    </row>
    <row r="40" spans="1:6">
      <c r="A40" s="1258" t="s">
        <v>29</v>
      </c>
      <c r="B40" s="1258" t="s">
        <v>28</v>
      </c>
      <c r="C40" s="1259">
        <v>0</v>
      </c>
      <c r="D40" s="1259">
        <v>0</v>
      </c>
      <c r="E40" s="1259">
        <v>0</v>
      </c>
      <c r="F40" s="1259">
        <v>0</v>
      </c>
    </row>
    <row r="41" spans="1:6">
      <c r="A41" s="1258" t="s">
        <v>31</v>
      </c>
      <c r="B41" s="1258" t="s">
        <v>32</v>
      </c>
      <c r="C41" s="1259">
        <v>5</v>
      </c>
      <c r="D41" s="1259">
        <v>146397</v>
      </c>
      <c r="E41" s="1259">
        <v>51</v>
      </c>
      <c r="F41" s="1259">
        <v>372270</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5</v>
      </c>
      <c r="F44" s="1259">
        <v>41601</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3</v>
      </c>
      <c r="F47" s="1259">
        <v>31523</v>
      </c>
    </row>
    <row r="48" spans="1:6">
      <c r="A48" s="1258" t="s">
        <v>31</v>
      </c>
      <c r="B48" s="1258" t="s">
        <v>28</v>
      </c>
      <c r="C48" s="1259">
        <v>2</v>
      </c>
      <c r="D48" s="1259">
        <v>105615</v>
      </c>
      <c r="E48" s="1259">
        <v>2</v>
      </c>
      <c r="F48" s="1259">
        <v>104407</v>
      </c>
    </row>
    <row r="49" spans="1:6">
      <c r="A49" s="1258" t="s">
        <v>31</v>
      </c>
      <c r="B49" s="1258" t="s">
        <v>39</v>
      </c>
      <c r="C49" s="1259">
        <v>0</v>
      </c>
      <c r="D49" s="1259">
        <v>0</v>
      </c>
      <c r="E49" s="1259">
        <v>3</v>
      </c>
      <c r="F49" s="1259">
        <v>49387</v>
      </c>
    </row>
    <row r="50" spans="1:6">
      <c r="A50" s="1258" t="s">
        <v>31</v>
      </c>
      <c r="B50" s="1258" t="s">
        <v>40</v>
      </c>
      <c r="C50" s="1259">
        <v>0</v>
      </c>
      <c r="D50" s="1259">
        <v>0</v>
      </c>
      <c r="E50" s="1259">
        <v>11</v>
      </c>
      <c r="F50" s="1259">
        <v>651891</v>
      </c>
    </row>
    <row r="51" spans="1:6">
      <c r="A51" s="1258" t="s">
        <v>41</v>
      </c>
      <c r="B51" s="1258" t="s">
        <v>42</v>
      </c>
      <c r="C51" s="1259">
        <v>0</v>
      </c>
      <c r="D51" s="1259">
        <v>0</v>
      </c>
      <c r="E51" s="1259">
        <v>130</v>
      </c>
      <c r="F51" s="1259">
        <v>3611193</v>
      </c>
    </row>
    <row r="52" spans="1:6">
      <c r="A52" s="1258" t="s">
        <v>41</v>
      </c>
      <c r="B52" s="1258" t="s">
        <v>28</v>
      </c>
      <c r="C52" s="1259">
        <v>1</v>
      </c>
      <c r="D52" s="1259">
        <v>126426</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23</v>
      </c>
      <c r="F54" s="1259">
        <v>663690</v>
      </c>
    </row>
    <row r="55" spans="1:6">
      <c r="A55" s="1258" t="s">
        <v>45</v>
      </c>
      <c r="B55" s="1258" t="s">
        <v>28</v>
      </c>
      <c r="C55" s="1259">
        <v>0</v>
      </c>
      <c r="D55" s="1259">
        <v>0</v>
      </c>
      <c r="E55" s="1259">
        <v>0</v>
      </c>
      <c r="F55" s="1259">
        <v>0</v>
      </c>
    </row>
    <row r="56" spans="1:6">
      <c r="A56" s="1258" t="s">
        <v>47</v>
      </c>
      <c r="B56" s="1258" t="s">
        <v>28</v>
      </c>
      <c r="C56" s="1259">
        <v>10</v>
      </c>
      <c r="D56" s="1259">
        <v>246302</v>
      </c>
      <c r="E56" s="1259">
        <v>57</v>
      </c>
      <c r="F56" s="1259">
        <v>358214</v>
      </c>
    </row>
    <row r="57" spans="1:6">
      <c r="A57" s="1258" t="s">
        <v>48</v>
      </c>
      <c r="B57" s="1258" t="s">
        <v>49</v>
      </c>
      <c r="C57" s="1259">
        <v>3</v>
      </c>
      <c r="D57" s="1259">
        <v>47921</v>
      </c>
      <c r="E57" s="1259">
        <v>25</v>
      </c>
      <c r="F57" s="1259">
        <v>218273</v>
      </c>
    </row>
    <row r="58" spans="1:6">
      <c r="A58" s="1258" t="s">
        <v>48</v>
      </c>
      <c r="B58" s="1258" t="s">
        <v>50</v>
      </c>
      <c r="C58" s="1259">
        <v>0</v>
      </c>
      <c r="D58" s="1259">
        <v>0</v>
      </c>
      <c r="E58" s="1259">
        <v>13</v>
      </c>
      <c r="F58" s="1259">
        <v>280793</v>
      </c>
    </row>
    <row r="59" spans="1:6">
      <c r="A59" s="1258" t="s">
        <v>48</v>
      </c>
      <c r="B59" s="1258" t="s">
        <v>51</v>
      </c>
      <c r="C59" s="1259">
        <v>10</v>
      </c>
      <c r="D59" s="1259">
        <v>366571</v>
      </c>
      <c r="E59" s="1259">
        <v>72</v>
      </c>
      <c r="F59" s="1259">
        <v>1848235</v>
      </c>
    </row>
    <row r="60" spans="1:6">
      <c r="A60" s="1258" t="s">
        <v>48</v>
      </c>
      <c r="B60" s="1258" t="s">
        <v>52</v>
      </c>
      <c r="C60" s="1259">
        <v>0</v>
      </c>
      <c r="D60" s="1259">
        <v>0</v>
      </c>
      <c r="E60" s="1259">
        <v>20</v>
      </c>
      <c r="F60" s="1259">
        <v>249294</v>
      </c>
    </row>
    <row r="61" spans="1:6">
      <c r="A61" s="1258" t="s">
        <v>48</v>
      </c>
      <c r="B61" s="1258" t="s">
        <v>53</v>
      </c>
      <c r="C61" s="1259">
        <v>21</v>
      </c>
      <c r="D61" s="1259">
        <v>685120</v>
      </c>
      <c r="E61" s="1259">
        <v>116</v>
      </c>
      <c r="F61" s="1259">
        <v>920950</v>
      </c>
    </row>
    <row r="62" spans="1:6">
      <c r="A62" s="1258" t="s">
        <v>48</v>
      </c>
      <c r="B62" s="1258" t="s">
        <v>54</v>
      </c>
      <c r="C62" s="1259">
        <v>0</v>
      </c>
      <c r="D62" s="1259">
        <v>0</v>
      </c>
      <c r="E62" s="1259">
        <v>3</v>
      </c>
      <c r="F62" s="1259">
        <v>20242</v>
      </c>
    </row>
    <row r="63" spans="1:6">
      <c r="A63" s="1258" t="s">
        <v>48</v>
      </c>
      <c r="B63" s="1258" t="s">
        <v>28</v>
      </c>
      <c r="C63" s="1259">
        <v>3</v>
      </c>
      <c r="D63" s="1259">
        <v>54211</v>
      </c>
      <c r="E63" s="1259">
        <v>0</v>
      </c>
      <c r="F63" s="1259">
        <v>0</v>
      </c>
    </row>
    <row r="64" spans="1:6">
      <c r="A64" s="1258" t="s">
        <v>55</v>
      </c>
      <c r="B64" s="1258" t="s">
        <v>56</v>
      </c>
      <c r="C64" s="1259">
        <v>0</v>
      </c>
      <c r="D64" s="1259">
        <v>0</v>
      </c>
      <c r="E64" s="1259">
        <v>0</v>
      </c>
      <c r="F64" s="1259">
        <v>0</v>
      </c>
    </row>
    <row r="65" spans="1:6">
      <c r="A65" s="1258" t="s">
        <v>55</v>
      </c>
      <c r="B65" s="1258" t="s">
        <v>28</v>
      </c>
      <c r="C65" s="1259">
        <v>0</v>
      </c>
      <c r="D65" s="1259">
        <v>0</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5</v>
      </c>
      <c r="F68" s="1261">
        <v>48232</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7786360</v>
      </c>
      <c r="E73" s="446"/>
      <c r="F73" s="327"/>
    </row>
    <row r="74" spans="1:6">
      <c r="A74" s="1258" t="s">
        <v>63</v>
      </c>
      <c r="B74" s="1258" t="s">
        <v>681</v>
      </c>
      <c r="C74" s="1271" t="s">
        <v>682</v>
      </c>
      <c r="D74" s="1259">
        <v>1278334.3235055478</v>
      </c>
      <c r="E74" s="446"/>
      <c r="F74" s="327"/>
    </row>
    <row r="75" spans="1:6">
      <c r="A75" s="1258" t="s">
        <v>64</v>
      </c>
      <c r="B75" s="1258" t="s">
        <v>679</v>
      </c>
      <c r="C75" s="1271" t="s">
        <v>683</v>
      </c>
      <c r="D75" s="1259">
        <v>25447016</v>
      </c>
      <c r="E75" s="446"/>
      <c r="F75" s="327"/>
    </row>
    <row r="76" spans="1:6">
      <c r="A76" s="1258" t="s">
        <v>64</v>
      </c>
      <c r="B76" s="1258" t="s">
        <v>681</v>
      </c>
      <c r="C76" s="1271" t="s">
        <v>684</v>
      </c>
      <c r="D76" s="1259">
        <v>668542.32350554783</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166439.35298890434</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2339.1167504555051</v>
      </c>
      <c r="C91" s="327"/>
      <c r="D91" s="327"/>
      <c r="E91" s="327"/>
      <c r="F91" s="327"/>
    </row>
    <row r="92" spans="1:6">
      <c r="A92" s="1253" t="s">
        <v>68</v>
      </c>
      <c r="B92" s="1254">
        <v>1103.4680211040416</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27</v>
      </c>
      <c r="C97" s="327"/>
      <c r="D97" s="327"/>
      <c r="E97" s="327"/>
      <c r="F97" s="327"/>
    </row>
    <row r="98" spans="1:6">
      <c r="A98" s="1258" t="s">
        <v>71</v>
      </c>
      <c r="B98" s="1259">
        <v>1</v>
      </c>
      <c r="C98" s="327"/>
      <c r="D98" s="327"/>
      <c r="E98" s="327"/>
      <c r="F98" s="327"/>
    </row>
    <row r="99" spans="1:6">
      <c r="A99" s="1258" t="s">
        <v>72</v>
      </c>
      <c r="B99" s="1259">
        <v>75</v>
      </c>
      <c r="C99" s="327"/>
      <c r="D99" s="327"/>
      <c r="E99" s="327"/>
      <c r="F99" s="327"/>
    </row>
    <row r="100" spans="1:6">
      <c r="A100" s="1258" t="s">
        <v>73</v>
      </c>
      <c r="B100" s="1259">
        <v>65</v>
      </c>
      <c r="C100" s="327"/>
      <c r="D100" s="327"/>
      <c r="E100" s="327"/>
      <c r="F100" s="327"/>
    </row>
    <row r="101" spans="1:6">
      <c r="A101" s="1258" t="s">
        <v>74</v>
      </c>
      <c r="B101" s="1259">
        <v>55</v>
      </c>
      <c r="C101" s="327"/>
      <c r="D101" s="327"/>
      <c r="E101" s="327"/>
      <c r="F101" s="327"/>
    </row>
    <row r="102" spans="1:6">
      <c r="A102" s="1258" t="s">
        <v>75</v>
      </c>
      <c r="B102" s="1259">
        <v>46</v>
      </c>
      <c r="C102" s="327"/>
      <c r="D102" s="327"/>
      <c r="E102" s="327"/>
      <c r="F102" s="327"/>
    </row>
    <row r="103" spans="1:6">
      <c r="A103" s="1258" t="s">
        <v>76</v>
      </c>
      <c r="B103" s="1259">
        <v>120</v>
      </c>
      <c r="C103" s="327"/>
      <c r="D103" s="327"/>
      <c r="E103" s="327"/>
      <c r="F103" s="327"/>
    </row>
    <row r="104" spans="1:6">
      <c r="A104" s="1258" t="s">
        <v>77</v>
      </c>
      <c r="B104" s="1259">
        <v>2458</v>
      </c>
      <c r="C104" s="327"/>
      <c r="D104" s="327"/>
      <c r="E104" s="327"/>
      <c r="F104" s="327"/>
    </row>
    <row r="105" spans="1:6">
      <c r="A105" s="1253" t="s">
        <v>78</v>
      </c>
      <c r="B105" s="1261">
        <v>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10</v>
      </c>
      <c r="C123" s="1259">
        <v>7</v>
      </c>
      <c r="D123" s="327"/>
      <c r="E123" s="327"/>
      <c r="F123" s="327"/>
    </row>
    <row r="124" spans="1:6">
      <c r="A124" s="1258" t="s">
        <v>88</v>
      </c>
      <c r="B124" s="1259">
        <v>1</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55</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8</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24136.845409440924</v>
      </c>
      <c r="C3" s="43" t="s">
        <v>163</v>
      </c>
      <c r="D3" s="43"/>
      <c r="E3" s="156"/>
      <c r="F3" s="43"/>
      <c r="G3" s="43"/>
      <c r="H3" s="43"/>
      <c r="I3" s="43"/>
      <c r="J3" s="43"/>
      <c r="K3" s="96"/>
    </row>
    <row r="4" spans="1:11">
      <c r="A4" s="353" t="s">
        <v>164</v>
      </c>
      <c r="B4" s="49">
        <f>IF(ISERROR('SEAP template'!B78+'SEAP template'!C78),0,'SEAP template'!B78+'SEAP template'!C78)</f>
        <v>3442.5847715595464</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0.18947925975375909</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663.69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663.69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0.18947925975375909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125.75548990597238</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12370.099</v>
      </c>
      <c r="C5" s="17">
        <f>IF(ISERROR('Eigen informatie GS &amp; warmtenet'!B57),0,'Eigen informatie GS &amp; warmtenet'!B57)</f>
        <v>0</v>
      </c>
      <c r="D5" s="30">
        <f>(SUM(HH_hh_gas_kWh,HH_rest_gas_kWh)/1000)*0.902</f>
        <v>8431.8238400000009</v>
      </c>
      <c r="E5" s="17">
        <f>B32*B41</f>
        <v>1548.1675627889858</v>
      </c>
      <c r="F5" s="17">
        <f>B36*B45</f>
        <v>47444.326868090007</v>
      </c>
      <c r="G5" s="18"/>
      <c r="H5" s="17"/>
      <c r="I5" s="17"/>
      <c r="J5" s="17">
        <f>B35*B44+C35*C44</f>
        <v>898.50108095315238</v>
      </c>
      <c r="K5" s="17"/>
      <c r="L5" s="17"/>
      <c r="M5" s="17"/>
      <c r="N5" s="17">
        <f>B34*B43+C34*C43</f>
        <v>5663.501547431053</v>
      </c>
      <c r="O5" s="17">
        <f>B52*B53*B54</f>
        <v>96.926666666666677</v>
      </c>
      <c r="P5" s="17">
        <f>B60*B61*B62/1000-B60*B61*B62/1000/B63</f>
        <v>362.26666666666665</v>
      </c>
    </row>
    <row r="6" spans="1:16">
      <c r="A6" s="16" t="s">
        <v>592</v>
      </c>
      <c r="B6" s="733">
        <f>kWh_PV_kleiner_dan_10kW</f>
        <v>2339.1167504555051</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14709.215750455505</v>
      </c>
      <c r="C8" s="21">
        <f>C5</f>
        <v>0</v>
      </c>
      <c r="D8" s="21">
        <f>D5</f>
        <v>8431.8238400000009</v>
      </c>
      <c r="E8" s="21">
        <f>E5</f>
        <v>1548.1675627889858</v>
      </c>
      <c r="F8" s="21">
        <f>F5</f>
        <v>47444.326868090007</v>
      </c>
      <c r="G8" s="21"/>
      <c r="H8" s="21"/>
      <c r="I8" s="21"/>
      <c r="J8" s="21">
        <f>J5</f>
        <v>898.50108095315238</v>
      </c>
      <c r="K8" s="21"/>
      <c r="L8" s="21">
        <f>L5</f>
        <v>0</v>
      </c>
      <c r="M8" s="21">
        <f>M5</f>
        <v>0</v>
      </c>
      <c r="N8" s="21">
        <f>N5</f>
        <v>5663.501547431053</v>
      </c>
      <c r="O8" s="21">
        <f>O5</f>
        <v>96.926666666666677</v>
      </c>
      <c r="P8" s="21">
        <f>P5</f>
        <v>362.26666666666665</v>
      </c>
    </row>
    <row r="9" spans="1:16">
      <c r="B9" s="19"/>
      <c r="C9" s="19"/>
      <c r="D9" s="257"/>
      <c r="E9" s="19"/>
      <c r="F9" s="19"/>
      <c r="G9" s="19"/>
      <c r="H9" s="19"/>
      <c r="I9" s="19"/>
      <c r="J9" s="19"/>
      <c r="K9" s="19"/>
      <c r="L9" s="19"/>
      <c r="M9" s="19"/>
      <c r="N9" s="19"/>
      <c r="O9" s="19"/>
      <c r="P9" s="19"/>
    </row>
    <row r="10" spans="1:16">
      <c r="A10" s="24" t="s">
        <v>207</v>
      </c>
      <c r="B10" s="25">
        <f ca="1">'EF ele_warmte'!B12</f>
        <v>0.18947925975375909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2787.0913119546431</v>
      </c>
      <c r="C12" s="23">
        <f ca="1">C10*C8</f>
        <v>0</v>
      </c>
      <c r="D12" s="23">
        <f>D8*D10</f>
        <v>1703.2284156800004</v>
      </c>
      <c r="E12" s="23">
        <f>E10*E8</f>
        <v>351.4340367530998</v>
      </c>
      <c r="F12" s="23">
        <f>F10*F8</f>
        <v>12667.635273780033</v>
      </c>
      <c r="G12" s="23"/>
      <c r="H12" s="23"/>
      <c r="I12" s="23"/>
      <c r="J12" s="23">
        <f>J10*J8</f>
        <v>318.06938265741593</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3172</v>
      </c>
      <c r="C26" s="36"/>
      <c r="D26" s="227"/>
    </row>
    <row r="27" spans="1:5" s="15" customFormat="1">
      <c r="A27" s="229" t="s">
        <v>697</v>
      </c>
      <c r="B27" s="37">
        <f>SUM(HH_hh_gas_aantal,HH_rest_gas_aantal)</f>
        <v>481</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456.95</v>
      </c>
      <c r="C31" s="34" t="s">
        <v>104</v>
      </c>
      <c r="D31" s="173"/>
    </row>
    <row r="32" spans="1:5">
      <c r="A32" s="170" t="s">
        <v>72</v>
      </c>
      <c r="B32" s="33">
        <f>IF((B21*($B$26-($B$27-0.05*$B$27)-$B$60))&lt;0,0,B21*($B$26-($B$27-0.05*$B$27)-$B$60))</f>
        <v>67.513303382715321</v>
      </c>
      <c r="C32" s="34" t="s">
        <v>104</v>
      </c>
      <c r="D32" s="173"/>
    </row>
    <row r="33" spans="1:6">
      <c r="A33" s="170" t="s">
        <v>73</v>
      </c>
      <c r="B33" s="33">
        <f>IF((B22*($B$26-($B$27-0.05*$B$27)-$B$60))&lt;0,0,B22*($B$26-($B$27-0.05*$B$27)-$B$60))</f>
        <v>454.44371403507375</v>
      </c>
      <c r="C33" s="34" t="s">
        <v>104</v>
      </c>
      <c r="D33" s="173"/>
    </row>
    <row r="34" spans="1:6">
      <c r="A34" s="170" t="s">
        <v>74</v>
      </c>
      <c r="B34" s="33">
        <f>IF((B24*($B$26-($B$27-0.05*$B$27)-$B$60))&lt;0,0,B24*($B$26-($B$27-0.05*$B$27)-$B$60))</f>
        <v>115.29853001612361</v>
      </c>
      <c r="C34" s="33">
        <f>B26*C24</f>
        <v>648.86453451848661</v>
      </c>
      <c r="D34" s="232"/>
    </row>
    <row r="35" spans="1:6">
      <c r="A35" s="170" t="s">
        <v>76</v>
      </c>
      <c r="B35" s="33">
        <f>IF((B19*($B$26-($B$27-0.05*$B$27)-$B$60))&lt;0,0,B19*($B$26-($B$27-0.05*$B$27)-$B$60))</f>
        <v>42.84872104608754</v>
      </c>
      <c r="C35" s="33">
        <f>B35/2</f>
        <v>21.42436052304377</v>
      </c>
      <c r="D35" s="232"/>
    </row>
    <row r="36" spans="1:6">
      <c r="A36" s="170" t="s">
        <v>77</v>
      </c>
      <c r="B36" s="33">
        <f>IF((B18*($B$26-($B$27-0.05*$B$27)-$B$60))&lt;0,0,B18*($B$26-($B$27-0.05*$B$27)-$B$60))</f>
        <v>2015.9457315200002</v>
      </c>
      <c r="C36" s="34" t="s">
        <v>104</v>
      </c>
      <c r="D36" s="173"/>
    </row>
    <row r="37" spans="1:6">
      <c r="A37" s="170" t="s">
        <v>78</v>
      </c>
      <c r="B37" s="33">
        <f>B60</f>
        <v>19</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62</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19</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3537.7870000000007</v>
      </c>
      <c r="C5" s="17">
        <f>IF(ISERROR('Eigen informatie GS &amp; warmtenet'!B58),0,'Eigen informatie GS &amp; warmtenet'!B58)</f>
        <v>0</v>
      </c>
      <c r="D5" s="30">
        <f>SUM(D6:D12)</f>
        <v>1040.7483460000001</v>
      </c>
      <c r="E5" s="17">
        <f>SUM(E6:E12)</f>
        <v>19.385285477424244</v>
      </c>
      <c r="F5" s="17">
        <f>SUM(F6:F12)</f>
        <v>379.99812491600977</v>
      </c>
      <c r="G5" s="18"/>
      <c r="H5" s="17"/>
      <c r="I5" s="17"/>
      <c r="J5" s="17">
        <f>SUM(J6:J12)</f>
        <v>11.647534444323906</v>
      </c>
      <c r="K5" s="17"/>
      <c r="L5" s="17"/>
      <c r="M5" s="17"/>
      <c r="N5" s="17">
        <f>SUM(N6:N12)</f>
        <v>146.17457282864177</v>
      </c>
      <c r="O5" s="17">
        <f>B38*B39*B40</f>
        <v>0</v>
      </c>
      <c r="P5" s="17">
        <f>B46*B47*B48/1000-B46*B47*B48/1000/B49</f>
        <v>0</v>
      </c>
      <c r="R5" s="32"/>
    </row>
    <row r="6" spans="1:18">
      <c r="A6" s="32" t="s">
        <v>53</v>
      </c>
      <c r="B6" s="37">
        <f>B26</f>
        <v>920.95</v>
      </c>
      <c r="C6" s="33"/>
      <c r="D6" s="37">
        <f>IF(ISERROR(TER_kantoor_gas_kWh/1000),0,TER_kantoor_gas_kWh/1000)*0.902</f>
        <v>617.97824000000003</v>
      </c>
      <c r="E6" s="33">
        <f>$C$26*'E Balans VL '!I12/100/3.6*1000000</f>
        <v>7.7736212441793802</v>
      </c>
      <c r="F6" s="33">
        <f>$C$26*('E Balans VL '!L12+'E Balans VL '!N12)/100/3.6*1000000</f>
        <v>123.48919816268933</v>
      </c>
      <c r="G6" s="34"/>
      <c r="H6" s="33"/>
      <c r="I6" s="33"/>
      <c r="J6" s="33">
        <f>$C$26*('E Balans VL '!D12+'E Balans VL '!E12)/100/3.6*1000000</f>
        <v>0</v>
      </c>
      <c r="K6" s="33"/>
      <c r="L6" s="33"/>
      <c r="M6" s="33"/>
      <c r="N6" s="33">
        <f>$C$26*'E Balans VL '!Y12/100/3.6*1000000</f>
        <v>8.0994704182680906</v>
      </c>
      <c r="O6" s="33"/>
      <c r="P6" s="33"/>
      <c r="R6" s="32"/>
    </row>
    <row r="7" spans="1:18">
      <c r="A7" s="32" t="s">
        <v>52</v>
      </c>
      <c r="B7" s="37">
        <f t="shared" ref="B7:B12" si="0">B27</f>
        <v>249.29400000000001</v>
      </c>
      <c r="C7" s="33"/>
      <c r="D7" s="37">
        <f>IF(ISERROR(TER_horeca_gas_kWh/1000),0,TER_horeca_gas_kWh/1000)*0.902</f>
        <v>0</v>
      </c>
      <c r="E7" s="33">
        <f>$C$27*'E Balans VL '!I9/100/3.6*1000000</f>
        <v>3.2777184029636368</v>
      </c>
      <c r="F7" s="33">
        <f>$C$27*('E Balans VL '!L9+'E Balans VL '!N9)/100/3.6*1000000</f>
        <v>62.607033963146947</v>
      </c>
      <c r="G7" s="34"/>
      <c r="H7" s="33"/>
      <c r="I7" s="33"/>
      <c r="J7" s="33">
        <f>$C$27*('E Balans VL '!D9+'E Balans VL '!E9)/100/3.6*1000000</f>
        <v>0</v>
      </c>
      <c r="K7" s="33"/>
      <c r="L7" s="33"/>
      <c r="M7" s="33"/>
      <c r="N7" s="33">
        <f>$C$27*'E Balans VL '!Y9/100/3.6*1000000</f>
        <v>6.7867231446915449E-2</v>
      </c>
      <c r="O7" s="33"/>
      <c r="P7" s="33"/>
      <c r="R7" s="32"/>
    </row>
    <row r="8" spans="1:18">
      <c r="A8" s="6" t="s">
        <v>51</v>
      </c>
      <c r="B8" s="37">
        <f t="shared" si="0"/>
        <v>1848.2349999999999</v>
      </c>
      <c r="C8" s="33"/>
      <c r="D8" s="37">
        <f>IF(ISERROR(TER_handel_gas_kWh/1000),0,TER_handel_gas_kWh/1000)*0.902</f>
        <v>330.64704200000006</v>
      </c>
      <c r="E8" s="33">
        <f>$C$28*'E Balans VL '!I13/100/3.6*1000000</f>
        <v>8.0941009734433944</v>
      </c>
      <c r="F8" s="33">
        <f>$C$28*('E Balans VL '!L13+'E Balans VL '!N13)/100/3.6*1000000</f>
        <v>124.22841641166049</v>
      </c>
      <c r="G8" s="34"/>
      <c r="H8" s="33"/>
      <c r="I8" s="33"/>
      <c r="J8" s="33">
        <f>$C$28*('E Balans VL '!D13+'E Balans VL '!E13)/100/3.6*1000000</f>
        <v>0</v>
      </c>
      <c r="K8" s="33"/>
      <c r="L8" s="33"/>
      <c r="M8" s="33"/>
      <c r="N8" s="33">
        <f>$C$28*'E Balans VL '!Y13/100/3.6*1000000</f>
        <v>5.4601580043812126</v>
      </c>
      <c r="O8" s="33"/>
      <c r="P8" s="33"/>
      <c r="R8" s="32"/>
    </row>
    <row r="9" spans="1:18">
      <c r="A9" s="32" t="s">
        <v>50</v>
      </c>
      <c r="B9" s="37">
        <f t="shared" si="0"/>
        <v>280.79300000000001</v>
      </c>
      <c r="C9" s="33"/>
      <c r="D9" s="37">
        <f>IF(ISERROR(TER_gezond_gas_kWh/1000),0,TER_gezond_gas_kWh/1000)*0.902</f>
        <v>0</v>
      </c>
      <c r="E9" s="33">
        <f>$C$29*'E Balans VL '!I10/100/3.6*1000000</f>
        <v>9.6565952410861397E-2</v>
      </c>
      <c r="F9" s="33">
        <f>$C$29*('E Balans VL '!L10+'E Balans VL '!N10)/100/3.6*1000000</f>
        <v>24.542414188402965</v>
      </c>
      <c r="G9" s="34"/>
      <c r="H9" s="33"/>
      <c r="I9" s="33"/>
      <c r="J9" s="33">
        <f>$C$29*('E Balans VL '!D10+'E Balans VL '!E10)/100/3.6*1000000</f>
        <v>11.647534444323906</v>
      </c>
      <c r="K9" s="33"/>
      <c r="L9" s="33"/>
      <c r="M9" s="33"/>
      <c r="N9" s="33">
        <f>$C$29*'E Balans VL '!Y10/100/3.6*1000000</f>
        <v>2.9440108414693853</v>
      </c>
      <c r="O9" s="33"/>
      <c r="P9" s="33"/>
      <c r="R9" s="32"/>
    </row>
    <row r="10" spans="1:18">
      <c r="A10" s="32" t="s">
        <v>49</v>
      </c>
      <c r="B10" s="37">
        <f t="shared" si="0"/>
        <v>218.273</v>
      </c>
      <c r="C10" s="33"/>
      <c r="D10" s="37">
        <f>IF(ISERROR(TER_ander_gas_kWh/1000),0,TER_ander_gas_kWh/1000)*0.902</f>
        <v>43.224741999999999</v>
      </c>
      <c r="E10" s="33">
        <f>$C$30*'E Balans VL '!I14/100/3.6*1000000</f>
        <v>0.12981491741700713</v>
      </c>
      <c r="F10" s="33">
        <f>$C$30*('E Balans VL '!L14+'E Balans VL '!N14)/100/3.6*1000000</f>
        <v>38.645919801701531</v>
      </c>
      <c r="G10" s="34"/>
      <c r="H10" s="33"/>
      <c r="I10" s="33"/>
      <c r="J10" s="33">
        <f>$C$30*('E Balans VL '!D14+'E Balans VL '!E14)/100/3.6*1000000</f>
        <v>0</v>
      </c>
      <c r="K10" s="33"/>
      <c r="L10" s="33"/>
      <c r="M10" s="33"/>
      <c r="N10" s="33">
        <f>$C$30*'E Balans VL '!Y14/100/3.6*1000000</f>
        <v>129.60306633307616</v>
      </c>
      <c r="O10" s="33"/>
      <c r="P10" s="33"/>
      <c r="R10" s="32"/>
    </row>
    <row r="11" spans="1:18">
      <c r="A11" s="32" t="s">
        <v>54</v>
      </c>
      <c r="B11" s="37">
        <f t="shared" si="0"/>
        <v>20.242000000000001</v>
      </c>
      <c r="C11" s="33"/>
      <c r="D11" s="37">
        <f>IF(ISERROR(TER_onderwijs_gas_kWh/1000),0,TER_onderwijs_gas_kWh/1000)*0.902</f>
        <v>0</v>
      </c>
      <c r="E11" s="33">
        <f>$C$31*'E Balans VL '!I11/100/3.6*1000000</f>
        <v>1.3463987009960264E-2</v>
      </c>
      <c r="F11" s="33">
        <f>$C$31*('E Balans VL '!L11+'E Balans VL '!N11)/100/3.6*1000000</f>
        <v>6.4851423884084403</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IF(ISERROR(TER_rest_gas_kWh/1000),0,TER_rest_gas_kWh/1000)*0.902</f>
        <v>48.898322</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3537.7870000000007</v>
      </c>
      <c r="C16" s="21">
        <f t="shared" ca="1" si="1"/>
        <v>0</v>
      </c>
      <c r="D16" s="21">
        <f t="shared" ca="1" si="1"/>
        <v>1040.7483460000001</v>
      </c>
      <c r="E16" s="21">
        <f t="shared" si="1"/>
        <v>19.385285477424244</v>
      </c>
      <c r="F16" s="21">
        <f t="shared" ca="1" si="1"/>
        <v>379.99812491600977</v>
      </c>
      <c r="G16" s="21">
        <f t="shared" si="1"/>
        <v>0</v>
      </c>
      <c r="H16" s="21">
        <f t="shared" si="1"/>
        <v>0</v>
      </c>
      <c r="I16" s="21">
        <f t="shared" si="1"/>
        <v>0</v>
      </c>
      <c r="J16" s="21">
        <f t="shared" si="1"/>
        <v>11.647534444323906</v>
      </c>
      <c r="K16" s="21">
        <f t="shared" si="1"/>
        <v>0</v>
      </c>
      <c r="L16" s="21">
        <f t="shared" ca="1" si="1"/>
        <v>0</v>
      </c>
      <c r="M16" s="21">
        <f t="shared" si="1"/>
        <v>0</v>
      </c>
      <c r="N16" s="21">
        <f t="shared" ca="1" si="1"/>
        <v>146.17457282864177</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0.18947925975375909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670.33726192647225</v>
      </c>
      <c r="C20" s="23">
        <f t="shared" ref="C20:P20" ca="1" si="2">C16*C18</f>
        <v>0</v>
      </c>
      <c r="D20" s="23">
        <f t="shared" ca="1" si="2"/>
        <v>210.23116589200004</v>
      </c>
      <c r="E20" s="23">
        <f t="shared" si="2"/>
        <v>4.4004598033753037</v>
      </c>
      <c r="F20" s="23">
        <f t="shared" ca="1" si="2"/>
        <v>101.45949935257461</v>
      </c>
      <c r="G20" s="23">
        <f t="shared" si="2"/>
        <v>0</v>
      </c>
      <c r="H20" s="23">
        <f t="shared" si="2"/>
        <v>0</v>
      </c>
      <c r="I20" s="23">
        <f t="shared" si="2"/>
        <v>0</v>
      </c>
      <c r="J20" s="23">
        <f t="shared" si="2"/>
        <v>4.1232271932906626</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920.95</v>
      </c>
      <c r="C26" s="39">
        <f>IF(ISERROR(B26*3.6/1000000/'E Balans VL '!Z12*100),0,B26*3.6/1000000/'E Balans VL '!Z12*100)</f>
        <v>1.9301968678475272E-2</v>
      </c>
      <c r="D26" s="235" t="s">
        <v>647</v>
      </c>
      <c r="F26" s="6"/>
    </row>
    <row r="27" spans="1:18">
      <c r="A27" s="230" t="s">
        <v>52</v>
      </c>
      <c r="B27" s="33">
        <f>IF(ISERROR(TER_horeca_ele_kWh/1000),0,TER_horeca_ele_kWh/1000)</f>
        <v>249.29400000000001</v>
      </c>
      <c r="C27" s="39">
        <f>IF(ISERROR(B27*3.6/1000000/'E Balans VL '!Z9*100),0,B27*3.6/1000000/'E Balans VL '!Z9*100)</f>
        <v>1.9113328083841186E-2</v>
      </c>
      <c r="D27" s="235" t="s">
        <v>647</v>
      </c>
      <c r="F27" s="6"/>
    </row>
    <row r="28" spans="1:18">
      <c r="A28" s="170" t="s">
        <v>51</v>
      </c>
      <c r="B28" s="33">
        <f>IF(ISERROR(TER_handel_ele_kWh/1000),0,TER_handel_ele_kWh/1000)</f>
        <v>1848.2349999999999</v>
      </c>
      <c r="C28" s="39">
        <f>IF(ISERROR(B28*3.6/1000000/'E Balans VL '!Z13*100),0,B28*3.6/1000000/'E Balans VL '!Z13*100)</f>
        <v>5.214143590262936E-2</v>
      </c>
      <c r="D28" s="235" t="s">
        <v>647</v>
      </c>
      <c r="F28" s="6"/>
    </row>
    <row r="29" spans="1:18">
      <c r="A29" s="230" t="s">
        <v>50</v>
      </c>
      <c r="B29" s="33">
        <f>IF(ISERROR(TER_gezond_ele_kWh/1000),0,TER_gezond_ele_kWh/1000)</f>
        <v>280.79300000000001</v>
      </c>
      <c r="C29" s="39">
        <f>IF(ISERROR(B29*3.6/1000000/'E Balans VL '!Z10*100),0,B29*3.6/1000000/'E Balans VL '!Z10*100)</f>
        <v>3.1178570419123086E-2</v>
      </c>
      <c r="D29" s="235" t="s">
        <v>647</v>
      </c>
      <c r="F29" s="6"/>
    </row>
    <row r="30" spans="1:18">
      <c r="A30" s="230" t="s">
        <v>49</v>
      </c>
      <c r="B30" s="33">
        <f>IF(ISERROR(TER_ander_ele_kWh/1000),0,TER_ander_ele_kWh/1000)</f>
        <v>218.273</v>
      </c>
      <c r="C30" s="39">
        <f>IF(ISERROR(B30*3.6/1000000/'E Balans VL '!Z14*100),0,B30*3.6/1000000/'E Balans VL '!Z14*100)</f>
        <v>1.5749582093161834E-2</v>
      </c>
      <c r="D30" s="235" t="s">
        <v>647</v>
      </c>
      <c r="F30" s="6"/>
    </row>
    <row r="31" spans="1:18">
      <c r="A31" s="230" t="s">
        <v>54</v>
      </c>
      <c r="B31" s="33">
        <f>IF(ISERROR(TER_onderwijs_ele_kWh/1000),0,TER_onderwijs_ele_kWh/1000)</f>
        <v>20.242000000000001</v>
      </c>
      <c r="C31" s="39">
        <f>IF(ISERROR(B31*3.6/1000000/'E Balans VL '!Z11*100),0,B31*3.6/1000000/'E Balans VL '!Z11*100)</f>
        <v>5.6109220610106583E-3</v>
      </c>
      <c r="D31" s="235" t="s">
        <v>647</v>
      </c>
    </row>
    <row r="32" spans="1:18">
      <c r="A32" s="230" t="s">
        <v>249</v>
      </c>
      <c r="B32" s="33">
        <f>IF(ISERROR(TER_rest_ele_kWh/1000),0,TER_rest_ele_kWh/1000)</f>
        <v>0</v>
      </c>
      <c r="C32" s="39">
        <f>IF(ISERROR(B32*3.6/1000000/'E Balans VL '!Z8*100),0,B32*3.6/1000000/'E Balans VL '!Z8*100)</f>
        <v>0</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1251.0789999999997</v>
      </c>
      <c r="C5" s="17">
        <f>IF(ISERROR('Eigen informatie GS &amp; warmtenet'!B59),0,'Eigen informatie GS &amp; warmtenet'!B59)</f>
        <v>0</v>
      </c>
      <c r="D5" s="30">
        <f>SUM(D6:D15)</f>
        <v>227.31482399999999</v>
      </c>
      <c r="E5" s="17">
        <f>SUM(E6:E15)</f>
        <v>161.29372581379158</v>
      </c>
      <c r="F5" s="17">
        <f>SUM(F6:F15)</f>
        <v>1259.3848893683819</v>
      </c>
      <c r="G5" s="18"/>
      <c r="H5" s="17"/>
      <c r="I5" s="17"/>
      <c r="J5" s="17">
        <f>SUM(J6:J15)</f>
        <v>0.27622543340293043</v>
      </c>
      <c r="K5" s="17"/>
      <c r="L5" s="17"/>
      <c r="M5" s="17"/>
      <c r="N5" s="17">
        <f>SUM(N6:N15)</f>
        <v>234.99554457664661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41.600999999999999</v>
      </c>
      <c r="C8" s="33"/>
      <c r="D8" s="37">
        <f>IF( ISERROR(IND_metaal_Gas_kWH/1000),0,IND_metaal_Gas_kWH/1000)*0.902</f>
        <v>0</v>
      </c>
      <c r="E8" s="33">
        <f>C30*'E Balans VL '!I18/100/3.6*1000000</f>
        <v>1.1949368709976207</v>
      </c>
      <c r="F8" s="33">
        <f>C30*'E Balans VL '!L18/100/3.6*1000000+C30*'E Balans VL '!N18/100/3.6*1000000</f>
        <v>10.669856397786283</v>
      </c>
      <c r="G8" s="34"/>
      <c r="H8" s="33"/>
      <c r="I8" s="33"/>
      <c r="J8" s="40">
        <f>C30*'E Balans VL '!D18/100/3.6*1000000+C30*'E Balans VL '!E18/100/3.6*1000000</f>
        <v>0</v>
      </c>
      <c r="K8" s="33"/>
      <c r="L8" s="33"/>
      <c r="M8" s="33"/>
      <c r="N8" s="33">
        <f>C30*'E Balans VL '!Y18/100/3.6*1000000</f>
        <v>1.1295520696722257</v>
      </c>
      <c r="O8" s="33"/>
      <c r="P8" s="33"/>
      <c r="R8" s="32"/>
    </row>
    <row r="9" spans="1:18">
      <c r="A9" s="6" t="s">
        <v>32</v>
      </c>
      <c r="B9" s="37">
        <f t="shared" si="0"/>
        <v>372.27</v>
      </c>
      <c r="C9" s="33"/>
      <c r="D9" s="37">
        <f>IF( ISERROR(IND_andere_gas_kWh/1000),0,IND_andere_gas_kWh/1000)*0.902</f>
        <v>132.050094</v>
      </c>
      <c r="E9" s="33">
        <f>C31*'E Balans VL '!I19/100/3.6*1000000</f>
        <v>100.76433598245325</v>
      </c>
      <c r="F9" s="33">
        <f>C31*'E Balans VL '!L19/100/3.6*1000000+C31*'E Balans VL '!N19/100/3.6*1000000</f>
        <v>247.97121439510499</v>
      </c>
      <c r="G9" s="34"/>
      <c r="H9" s="33"/>
      <c r="I9" s="33"/>
      <c r="J9" s="40">
        <f>C31*'E Balans VL '!D19/100/3.6*1000000+C31*'E Balans VL '!E19/100/3.6*1000000</f>
        <v>0</v>
      </c>
      <c r="K9" s="33"/>
      <c r="L9" s="33"/>
      <c r="M9" s="33"/>
      <c r="N9" s="33">
        <f>C31*'E Balans VL '!Y19/100/3.6*1000000</f>
        <v>31.472962492852655</v>
      </c>
      <c r="O9" s="33"/>
      <c r="P9" s="33"/>
      <c r="R9" s="32"/>
    </row>
    <row r="10" spans="1:18">
      <c r="A10" s="6" t="s">
        <v>40</v>
      </c>
      <c r="B10" s="37">
        <f t="shared" si="0"/>
        <v>651.89099999999996</v>
      </c>
      <c r="C10" s="33"/>
      <c r="D10" s="37">
        <f>IF( ISERROR(IND_voed_gas_kWh/1000),0,IND_voed_gas_kWh/1000)*0.902</f>
        <v>0</v>
      </c>
      <c r="E10" s="33">
        <f>C32*'E Balans VL '!I20/100/3.6*1000000</f>
        <v>53.169727640600826</v>
      </c>
      <c r="F10" s="33">
        <f>C32*'E Balans VL '!L20/100/3.6*1000000+C32*'E Balans VL '!N20/100/3.6*1000000</f>
        <v>972.02862573385789</v>
      </c>
      <c r="G10" s="34"/>
      <c r="H10" s="33"/>
      <c r="I10" s="33"/>
      <c r="J10" s="40">
        <f>C32*'E Balans VL '!D20/100/3.6*1000000+C32*'E Balans VL '!E20/100/3.6*1000000</f>
        <v>8.6237266404779727E-3</v>
      </c>
      <c r="K10" s="33"/>
      <c r="L10" s="33"/>
      <c r="M10" s="33"/>
      <c r="N10" s="33">
        <f>C32*'E Balans VL '!Y20/100/3.6*1000000</f>
        <v>191.50257304694765</v>
      </c>
      <c r="O10" s="33"/>
      <c r="P10" s="33"/>
      <c r="R10" s="32"/>
    </row>
    <row r="11" spans="1:18">
      <c r="A11" s="6" t="s">
        <v>39</v>
      </c>
      <c r="B11" s="37">
        <f t="shared" si="0"/>
        <v>49.387</v>
      </c>
      <c r="C11" s="33"/>
      <c r="D11" s="37">
        <f>IF( ISERROR(IND_textiel_gas_kWh/1000),0,IND_textiel_gas_kWh/1000)*0.902</f>
        <v>0</v>
      </c>
      <c r="E11" s="33">
        <f>C33*'E Balans VL '!I21/100/3.6*1000000</f>
        <v>9.7895138436852654E-3</v>
      </c>
      <c r="F11" s="33">
        <f>C33*'E Balans VL '!L21/100/3.6*1000000+C33*'E Balans VL '!N21/100/3.6*1000000</f>
        <v>1.8189827956057165</v>
      </c>
      <c r="G11" s="34"/>
      <c r="H11" s="33"/>
      <c r="I11" s="33"/>
      <c r="J11" s="40">
        <f>C33*'E Balans VL '!D21/100/3.6*1000000+C33*'E Balans VL '!E21/100/3.6*1000000</f>
        <v>0</v>
      </c>
      <c r="K11" s="33"/>
      <c r="L11" s="33"/>
      <c r="M11" s="33"/>
      <c r="N11" s="33">
        <f>C33*'E Balans VL '!Y21/100/3.6*1000000</f>
        <v>0.2296370826545189</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31.523</v>
      </c>
      <c r="C13" s="33"/>
      <c r="D13" s="37">
        <f>IF( ISERROR(IND_papier_gas_kWh/1000),0,IND_papier_gas_kWh/1000)*0.902</f>
        <v>0</v>
      </c>
      <c r="E13" s="33">
        <f>C35*'E Balans VL '!I23/100/3.6*1000000</f>
        <v>0.3302608528974848</v>
      </c>
      <c r="F13" s="33">
        <f>C35*'E Balans VL '!L23/100/3.6*1000000+C35*'E Balans VL '!N23/100/3.6*1000000</f>
        <v>2.352251847326698</v>
      </c>
      <c r="G13" s="34"/>
      <c r="H13" s="33"/>
      <c r="I13" s="33"/>
      <c r="J13" s="40">
        <f>C35*'E Balans VL '!D23/100/3.6*1000000+C35*'E Balans VL '!E23/100/3.6*1000000</f>
        <v>0</v>
      </c>
      <c r="K13" s="33"/>
      <c r="L13" s="33"/>
      <c r="M13" s="33"/>
      <c r="N13" s="33">
        <f>C35*'E Balans VL '!Y23/100/3.6*1000000</f>
        <v>5.8153118945170208</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104.407</v>
      </c>
      <c r="C15" s="33"/>
      <c r="D15" s="37">
        <f>IF( ISERROR(IND_rest_gas_kWh/1000),0,IND_rest_gas_kWh/1000)*0.902</f>
        <v>95.26473</v>
      </c>
      <c r="E15" s="33">
        <f>C37*'E Balans VL '!I15/100/3.6*1000000</f>
        <v>5.8246749529987216</v>
      </c>
      <c r="F15" s="33">
        <f>C37*'E Balans VL '!L15/100/3.6*1000000+C37*'E Balans VL '!N15/100/3.6*1000000</f>
        <v>24.543958198700221</v>
      </c>
      <c r="G15" s="34"/>
      <c r="H15" s="33"/>
      <c r="I15" s="33"/>
      <c r="J15" s="40">
        <f>C37*'E Balans VL '!D15/100/3.6*1000000+C37*'E Balans VL '!E15/100/3.6*1000000</f>
        <v>0.26760170676245248</v>
      </c>
      <c r="K15" s="33"/>
      <c r="L15" s="33"/>
      <c r="M15" s="33"/>
      <c r="N15" s="33">
        <f>C37*'E Balans VL '!Y15/100/3.6*1000000</f>
        <v>4.8455079900025808</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1251.0789999999997</v>
      </c>
      <c r="C18" s="21">
        <f>C5+C16</f>
        <v>0</v>
      </c>
      <c r="D18" s="21">
        <f>MAX((D5+D16),0)</f>
        <v>227.31482399999999</v>
      </c>
      <c r="E18" s="21">
        <f>MAX((E5+E16),0)</f>
        <v>161.29372581379158</v>
      </c>
      <c r="F18" s="21">
        <f>MAX((F5+F16),0)</f>
        <v>1259.3848893683819</v>
      </c>
      <c r="G18" s="21"/>
      <c r="H18" s="21"/>
      <c r="I18" s="21"/>
      <c r="J18" s="21">
        <f>MAX((J5+J16),0)</f>
        <v>0.27622543340293043</v>
      </c>
      <c r="K18" s="21"/>
      <c r="L18" s="21">
        <f>MAX((L5+L16),0)</f>
        <v>0</v>
      </c>
      <c r="M18" s="21"/>
      <c r="N18" s="21">
        <f>MAX((N5+N16),0)</f>
        <v>234.99554457664661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0.18947925975375909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237.05352281347311</v>
      </c>
      <c r="C22" s="23">
        <f ca="1">C18*C20</f>
        <v>0</v>
      </c>
      <c r="D22" s="23">
        <f>D18*D20</f>
        <v>45.917594448000003</v>
      </c>
      <c r="E22" s="23">
        <f>E18*E20</f>
        <v>36.61367575973069</v>
      </c>
      <c r="F22" s="23">
        <f>F18*F20</f>
        <v>336.25576546135801</v>
      </c>
      <c r="G22" s="23"/>
      <c r="H22" s="23"/>
      <c r="I22" s="23"/>
      <c r="J22" s="23">
        <f>J18*J20</f>
        <v>9.7783803424637369E-2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41.600999999999999</v>
      </c>
      <c r="C30" s="39">
        <f>IF(ISERROR(B30*3.6/1000000/'E Balans VL '!Z18*100),0,B30*3.6/1000000/'E Balans VL '!Z18*100)</f>
        <v>4.0934322039595386E-3</v>
      </c>
      <c r="D30" s="235" t="s">
        <v>647</v>
      </c>
    </row>
    <row r="31" spans="1:18">
      <c r="A31" s="6" t="s">
        <v>32</v>
      </c>
      <c r="B31" s="37">
        <f>IF( ISERROR(IND_ander_ele_kWh/1000),0,IND_ander_ele_kWh/1000)</f>
        <v>372.27</v>
      </c>
      <c r="C31" s="39">
        <f>IF(ISERROR(B31*3.6/1000000/'E Balans VL '!Z19*100),0,B31*3.6/1000000/'E Balans VL '!Z19*100)</f>
        <v>1.6212061543146215E-2</v>
      </c>
      <c r="D31" s="235" t="s">
        <v>647</v>
      </c>
    </row>
    <row r="32" spans="1:18">
      <c r="A32" s="170" t="s">
        <v>40</v>
      </c>
      <c r="B32" s="37">
        <f>IF( ISERROR(IND_voed_ele_kWh/1000),0,IND_voed_ele_kWh/1000)</f>
        <v>651.89099999999996</v>
      </c>
      <c r="C32" s="39">
        <f>IF(ISERROR(B32*3.6/1000000/'E Balans VL '!Z20*100),0,B32*3.6/1000000/'E Balans VL '!Z20*100)</f>
        <v>0.12368691595904176</v>
      </c>
      <c r="D32" s="235" t="s">
        <v>647</v>
      </c>
    </row>
    <row r="33" spans="1:5">
      <c r="A33" s="170" t="s">
        <v>39</v>
      </c>
      <c r="B33" s="37">
        <f>IF( ISERROR(IND_textiel_ele_kWh/1000),0,IND_textiel_ele_kWh/1000)</f>
        <v>49.387</v>
      </c>
      <c r="C33" s="39">
        <f>IF(ISERROR(B33*3.6/1000000/'E Balans VL '!Z21*100),0,B33*3.6/1000000/'E Balans VL '!Z21*100)</f>
        <v>2.8197472459112766E-3</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31.523</v>
      </c>
      <c r="C35" s="39">
        <f>IF(ISERROR(B35*3.6/1000000/'E Balans VL '!Z22*100),0,B35*3.6/1000000/'E Balans VL '!Z22*100)</f>
        <v>4.4324503440994365E-3</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104.407</v>
      </c>
      <c r="C37" s="39">
        <f>IF(ISERROR(B37*3.6/1000000/'E Balans VL '!Z15*100),0,B37*3.6/1000000/'E Balans VL '!Z15*100)</f>
        <v>8.0458417322955994E-4</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3611.1930000000002</v>
      </c>
      <c r="C5" s="17">
        <f>'Eigen informatie GS &amp; warmtenet'!B60</f>
        <v>0</v>
      </c>
      <c r="D5" s="30">
        <f>IF(ISERROR(SUM(LB_lb_gas_kWh,LB_rest_gas_kWh)/1000),0,SUM(LB_lb_gas_kWh,LB_rest_gas_kWh)/1000)*0.902</f>
        <v>114.036252</v>
      </c>
      <c r="E5" s="17">
        <f>B17*'E Balans VL '!I25/3.6*1000000/100</f>
        <v>74.985375964032684</v>
      </c>
      <c r="F5" s="17">
        <f>B17*('E Balans VL '!L25/3.6*1000000+'E Balans VL '!N25/3.6*1000000)/100</f>
        <v>12762.048209097669</v>
      </c>
      <c r="G5" s="18"/>
      <c r="H5" s="17"/>
      <c r="I5" s="17"/>
      <c r="J5" s="17">
        <f>('E Balans VL '!D25+'E Balans VL '!E25)/3.6*1000000*landbouw!B17/100</f>
        <v>414.1809969169995</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3611.1930000000002</v>
      </c>
      <c r="C8" s="21">
        <f>C5+C6</f>
        <v>0</v>
      </c>
      <c r="D8" s="21">
        <f>MAX((D5+D6),0)</f>
        <v>114.036252</v>
      </c>
      <c r="E8" s="21">
        <f>MAX((E5+E6),0)</f>
        <v>74.985375964032684</v>
      </c>
      <c r="F8" s="21">
        <f>MAX((F5+F6),0)</f>
        <v>12762.048209097669</v>
      </c>
      <c r="G8" s="21"/>
      <c r="H8" s="21"/>
      <c r="I8" s="21"/>
      <c r="J8" s="21">
        <f>MAX((J5+J6),0)</f>
        <v>414.1809969169995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0.18947925975375909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684.24617646795662</v>
      </c>
      <c r="C12" s="23">
        <f ca="1">C8*C10</f>
        <v>0</v>
      </c>
      <c r="D12" s="23">
        <f>D8*D10</f>
        <v>23.035322904000001</v>
      </c>
      <c r="E12" s="23">
        <f>E8*E10</f>
        <v>17.021680343835421</v>
      </c>
      <c r="F12" s="23">
        <f>F8*F10</f>
        <v>3407.4668718290777</v>
      </c>
      <c r="G12" s="23"/>
      <c r="H12" s="23"/>
      <c r="I12" s="23"/>
      <c r="J12" s="23">
        <f>J8*J10</f>
        <v>146.62007290861783</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0.50364760530336516</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224.66090939120483</v>
      </c>
      <c r="C26" s="245">
        <f>B26*'GWP N2O_CH4'!B5</f>
        <v>4717.879097215301</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91.159662813918985</v>
      </c>
      <c r="C27" s="245">
        <f>B27*'GWP N2O_CH4'!B5</f>
        <v>1914.3529190922986</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3.6600873214842276</v>
      </c>
      <c r="C28" s="245">
        <f>B28*'GWP N2O_CH4'!B4</f>
        <v>1134.6270696601105</v>
      </c>
      <c r="D28" s="50"/>
    </row>
    <row r="29" spans="1:4">
      <c r="A29" s="41" t="s">
        <v>266</v>
      </c>
      <c r="B29" s="245">
        <f>B34*'ha_N2O bodem landbouw'!B4</f>
        <v>18.358315647801099</v>
      </c>
      <c r="C29" s="245">
        <f>B29*'GWP N2O_CH4'!B4</f>
        <v>5691.0778508183412</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4.5838879758460932E-3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9.3227475623768984E-6</v>
      </c>
      <c r="C5" s="434" t="s">
        <v>204</v>
      </c>
      <c r="D5" s="419">
        <f>SUM(D6:D11)</f>
        <v>1.1813494715526615E-5</v>
      </c>
      <c r="E5" s="419">
        <f>SUM(E6:E11)</f>
        <v>4.0601275903076682E-4</v>
      </c>
      <c r="F5" s="432" t="s">
        <v>204</v>
      </c>
      <c r="G5" s="419">
        <f>SUM(G6:G11)</f>
        <v>9.7101046997265197E-2</v>
      </c>
      <c r="H5" s="419">
        <f>SUM(H6:H11)</f>
        <v>2.1004642073655433E-2</v>
      </c>
      <c r="I5" s="434" t="s">
        <v>204</v>
      </c>
      <c r="J5" s="434" t="s">
        <v>204</v>
      </c>
      <c r="K5" s="434" t="s">
        <v>204</v>
      </c>
      <c r="L5" s="434" t="s">
        <v>204</v>
      </c>
      <c r="M5" s="419">
        <f>SUM(M6:M11)</f>
        <v>5.3417126310114004E-3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2.0300298062329781E-6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1.8006525640271561E-6</v>
      </c>
      <c r="E6" s="836">
        <f>vkm_GW_PW*SUMIFS(TableVerdeelsleutelVkm[LPG],TableVerdeelsleutelVkm[Voertuigtype],"Lichte voertuigen")*SUMIFS(TableECFTransport[EnergieConsumptieFactor (PJ per km)],TableECFTransport[Index],CONCATENATE($A6,"_LPG_LPG"))</f>
        <v>6.4659947445185287E-5</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1.2854037469364253E-2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3.3181915509354421E-3</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7.3163469657174689E-4</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7.7317199375096785E-8</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1.2098992103497359E-2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3.1827111748049244E-7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5.4629007242422368E-4</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7.1749652659636605E-6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1.0012842151499459E-5</v>
      </c>
      <c r="E8" s="422">
        <f>vkm_NGW_PW*SUMIFS(TableVerdeelsleutelVkm[LPG],TableVerdeelsleutelVkm[Voertuigtype],"Lichte voertuigen")*SUMIFS(TableECFTransport[EnergieConsumptieFactor (PJ per km)],TableECFTransport[Index],CONCATENATE($A8,"_LPG_LPG"))</f>
        <v>3.4135281158558152E-4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6.4020204475405046E-2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1.7685931343185558E-2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3.6968038709333951E-3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4.043529080516359E-8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8.1278129489985446E-3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2.0090841695249455E-7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3.6698399108203483E-4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2.5896521006602495</v>
      </c>
      <c r="C14" s="21"/>
      <c r="D14" s="21">
        <f t="shared" ref="D14:M14" si="0">((D5)*10^9/3600)+D12</f>
        <v>3.2815263098685041</v>
      </c>
      <c r="E14" s="21">
        <f t="shared" si="0"/>
        <v>112.78132195299079</v>
      </c>
      <c r="F14" s="21"/>
      <c r="G14" s="21">
        <f t="shared" si="0"/>
        <v>26972.513054795891</v>
      </c>
      <c r="H14" s="21">
        <f t="shared" si="0"/>
        <v>5834.6227982376204</v>
      </c>
      <c r="I14" s="21"/>
      <c r="J14" s="21"/>
      <c r="K14" s="21"/>
      <c r="L14" s="21"/>
      <c r="M14" s="21">
        <f t="shared" si="0"/>
        <v>1483.8090641698334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0.18947925975375909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0.4906853630528713</v>
      </c>
      <c r="C18" s="23"/>
      <c r="D18" s="23">
        <f t="shared" ref="D18:M18" si="1">D14*D16</f>
        <v>0.66286831459343787</v>
      </c>
      <c r="E18" s="23">
        <f t="shared" si="1"/>
        <v>25.60136008332891</v>
      </c>
      <c r="F18" s="23"/>
      <c r="G18" s="23">
        <f t="shared" si="1"/>
        <v>7201.6609856305031</v>
      </c>
      <c r="H18" s="23">
        <f t="shared" si="1"/>
        <v>1452.8210767611674</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1.1077224785140753E-5</v>
      </c>
      <c r="C50" s="316">
        <f t="shared" ref="C50:P50" si="2">SUM(C51:C52)</f>
        <v>0</v>
      </c>
      <c r="D50" s="316">
        <f t="shared" si="2"/>
        <v>0</v>
      </c>
      <c r="E50" s="316">
        <f t="shared" si="2"/>
        <v>0</v>
      </c>
      <c r="F50" s="316">
        <f t="shared" si="2"/>
        <v>0</v>
      </c>
      <c r="G50" s="316">
        <f t="shared" si="2"/>
        <v>2.1561191251360827E-3</v>
      </c>
      <c r="H50" s="316">
        <f t="shared" si="2"/>
        <v>0</v>
      </c>
      <c r="I50" s="316">
        <f t="shared" si="2"/>
        <v>0</v>
      </c>
      <c r="J50" s="316">
        <f t="shared" si="2"/>
        <v>0</v>
      </c>
      <c r="K50" s="316">
        <f t="shared" si="2"/>
        <v>0</v>
      </c>
      <c r="L50" s="316">
        <f t="shared" si="2"/>
        <v>0</v>
      </c>
      <c r="M50" s="316">
        <f t="shared" si="2"/>
        <v>9.6682193283233027E-5</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1.1077224785140753E-5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2.1561191251360827E-3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9.6682193283233027E-5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3.0770068847613206</v>
      </c>
      <c r="C54" s="21">
        <f t="shared" ref="C54:P54" si="3">(C50)*10^9/3600</f>
        <v>0</v>
      </c>
      <c r="D54" s="21">
        <f t="shared" si="3"/>
        <v>0</v>
      </c>
      <c r="E54" s="21">
        <f t="shared" si="3"/>
        <v>0</v>
      </c>
      <c r="F54" s="21">
        <f t="shared" si="3"/>
        <v>0</v>
      </c>
      <c r="G54" s="21">
        <f t="shared" si="3"/>
        <v>598.92197920446733</v>
      </c>
      <c r="H54" s="21">
        <f t="shared" si="3"/>
        <v>0</v>
      </c>
      <c r="I54" s="21">
        <f t="shared" si="3"/>
        <v>0</v>
      </c>
      <c r="J54" s="21">
        <f t="shared" si="3"/>
        <v>0</v>
      </c>
      <c r="K54" s="21">
        <f t="shared" si="3"/>
        <v>0</v>
      </c>
      <c r="L54" s="21">
        <f t="shared" si="3"/>
        <v>0</v>
      </c>
      <c r="M54" s="21">
        <f t="shared" si="3"/>
        <v>26.85616480089806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0.18947925975375909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0.58302898678179538</v>
      </c>
      <c r="C58" s="23">
        <f t="shared" ref="C58:P58" ca="1" si="4">C54*C56</f>
        <v>0</v>
      </c>
      <c r="D58" s="23">
        <f t="shared" si="4"/>
        <v>0</v>
      </c>
      <c r="E58" s="23">
        <f t="shared" si="4"/>
        <v>0</v>
      </c>
      <c r="F58" s="23">
        <f t="shared" si="4"/>
        <v>0</v>
      </c>
      <c r="G58" s="23">
        <f t="shared" si="4"/>
        <v>159.91216844759279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3442.5847715595464</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3442.5847715595464</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4201.4770000000008</v>
      </c>
      <c r="D10" s="640">
        <f ca="1">tertiair!C16</f>
        <v>0</v>
      </c>
      <c r="E10" s="640">
        <f ca="1">tertiair!D16</f>
        <v>1040.7483460000001</v>
      </c>
      <c r="F10" s="640">
        <f>tertiair!E16</f>
        <v>19.385285477424244</v>
      </c>
      <c r="G10" s="640">
        <f ca="1">tertiair!F16</f>
        <v>379.99812491600977</v>
      </c>
      <c r="H10" s="640">
        <f>tertiair!G16</f>
        <v>0</v>
      </c>
      <c r="I10" s="640">
        <f>tertiair!H16</f>
        <v>0</v>
      </c>
      <c r="J10" s="640">
        <f>tertiair!I16</f>
        <v>0</v>
      </c>
      <c r="K10" s="640">
        <f>tertiair!J16</f>
        <v>11.647534444323906</v>
      </c>
      <c r="L10" s="640">
        <f>tertiair!K16</f>
        <v>0</v>
      </c>
      <c r="M10" s="640">
        <f ca="1">tertiair!L16</f>
        <v>0</v>
      </c>
      <c r="N10" s="640">
        <f>tertiair!M16</f>
        <v>0</v>
      </c>
      <c r="O10" s="640">
        <f ca="1">tertiair!N16</f>
        <v>146.17457282864177</v>
      </c>
      <c r="P10" s="640">
        <f>tertiair!O16</f>
        <v>0</v>
      </c>
      <c r="Q10" s="641">
        <f>tertiair!P16</f>
        <v>0</v>
      </c>
      <c r="R10" s="643">
        <f ca="1">SUM(C10:Q10)</f>
        <v>5799.4308636664009</v>
      </c>
      <c r="S10" s="67"/>
    </row>
    <row r="11" spans="1:19" s="444" customFormat="1">
      <c r="A11" s="754" t="s">
        <v>214</v>
      </c>
      <c r="B11" s="759"/>
      <c r="C11" s="640">
        <f>huishoudens!B8</f>
        <v>14709.215750455505</v>
      </c>
      <c r="D11" s="640">
        <f>huishoudens!C8</f>
        <v>0</v>
      </c>
      <c r="E11" s="640">
        <f>huishoudens!D8</f>
        <v>8431.8238400000009</v>
      </c>
      <c r="F11" s="640">
        <f>huishoudens!E8</f>
        <v>1548.1675627889858</v>
      </c>
      <c r="G11" s="640">
        <f>huishoudens!F8</f>
        <v>47444.326868090007</v>
      </c>
      <c r="H11" s="640">
        <f>huishoudens!G8</f>
        <v>0</v>
      </c>
      <c r="I11" s="640">
        <f>huishoudens!H8</f>
        <v>0</v>
      </c>
      <c r="J11" s="640">
        <f>huishoudens!I8</f>
        <v>0</v>
      </c>
      <c r="K11" s="640">
        <f>huishoudens!J8</f>
        <v>898.50108095315238</v>
      </c>
      <c r="L11" s="640">
        <f>huishoudens!K8</f>
        <v>0</v>
      </c>
      <c r="M11" s="640">
        <f>huishoudens!L8</f>
        <v>0</v>
      </c>
      <c r="N11" s="640">
        <f>huishoudens!M8</f>
        <v>0</v>
      </c>
      <c r="O11" s="640">
        <f>huishoudens!N8</f>
        <v>5663.501547431053</v>
      </c>
      <c r="P11" s="640">
        <f>huishoudens!O8</f>
        <v>96.926666666666677</v>
      </c>
      <c r="Q11" s="641">
        <f>huishoudens!P8</f>
        <v>362.26666666666665</v>
      </c>
      <c r="R11" s="643">
        <f>SUM(C11:Q11)</f>
        <v>79154.729983052021</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1251.0789999999997</v>
      </c>
      <c r="D13" s="640">
        <f>industrie!C18</f>
        <v>0</v>
      </c>
      <c r="E13" s="640">
        <f>industrie!D18</f>
        <v>227.31482399999999</v>
      </c>
      <c r="F13" s="640">
        <f>industrie!E18</f>
        <v>161.29372581379158</v>
      </c>
      <c r="G13" s="640">
        <f>industrie!F18</f>
        <v>1259.3848893683819</v>
      </c>
      <c r="H13" s="640">
        <f>industrie!G18</f>
        <v>0</v>
      </c>
      <c r="I13" s="640">
        <f>industrie!H18</f>
        <v>0</v>
      </c>
      <c r="J13" s="640">
        <f>industrie!I18</f>
        <v>0</v>
      </c>
      <c r="K13" s="640">
        <f>industrie!J18</f>
        <v>0.27622543340293043</v>
      </c>
      <c r="L13" s="640">
        <f>industrie!K18</f>
        <v>0</v>
      </c>
      <c r="M13" s="640">
        <f>industrie!L18</f>
        <v>0</v>
      </c>
      <c r="N13" s="640">
        <f>industrie!M18</f>
        <v>0</v>
      </c>
      <c r="O13" s="640">
        <f>industrie!N18</f>
        <v>234.99554457664661</v>
      </c>
      <c r="P13" s="640">
        <f>industrie!O18</f>
        <v>0</v>
      </c>
      <c r="Q13" s="641">
        <f>industrie!P18</f>
        <v>0</v>
      </c>
      <c r="R13" s="643">
        <f>SUM(C13:Q13)</f>
        <v>3134.3442091922229</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20161.771750455504</v>
      </c>
      <c r="D16" s="675">
        <f t="shared" ref="D16:R16" ca="1" si="0">SUM(D9:D15)</f>
        <v>0</v>
      </c>
      <c r="E16" s="675">
        <f t="shared" ca="1" si="0"/>
        <v>9699.8870100000004</v>
      </c>
      <c r="F16" s="675">
        <f t="shared" si="0"/>
        <v>1728.8465740802017</v>
      </c>
      <c r="G16" s="675">
        <f t="shared" ca="1" si="0"/>
        <v>49083.709882374402</v>
      </c>
      <c r="H16" s="675">
        <f t="shared" si="0"/>
        <v>0</v>
      </c>
      <c r="I16" s="675">
        <f t="shared" si="0"/>
        <v>0</v>
      </c>
      <c r="J16" s="675">
        <f t="shared" si="0"/>
        <v>0</v>
      </c>
      <c r="K16" s="675">
        <f t="shared" si="0"/>
        <v>910.42484083087925</v>
      </c>
      <c r="L16" s="675">
        <f t="shared" si="0"/>
        <v>0</v>
      </c>
      <c r="M16" s="675">
        <f t="shared" ca="1" si="0"/>
        <v>0</v>
      </c>
      <c r="N16" s="675">
        <f t="shared" si="0"/>
        <v>0</v>
      </c>
      <c r="O16" s="675">
        <f t="shared" ca="1" si="0"/>
        <v>6044.6716648363408</v>
      </c>
      <c r="P16" s="675">
        <f t="shared" si="0"/>
        <v>96.926666666666677</v>
      </c>
      <c r="Q16" s="675">
        <f t="shared" si="0"/>
        <v>362.26666666666665</v>
      </c>
      <c r="R16" s="675">
        <f t="shared" ca="1" si="0"/>
        <v>88088.505055910646</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3.0770068847613206</v>
      </c>
      <c r="D19" s="640">
        <f>transport!C54</f>
        <v>0</v>
      </c>
      <c r="E19" s="640">
        <f>transport!D54</f>
        <v>0</v>
      </c>
      <c r="F19" s="640">
        <f>transport!E54</f>
        <v>0</v>
      </c>
      <c r="G19" s="640">
        <f>transport!F54</f>
        <v>0</v>
      </c>
      <c r="H19" s="640">
        <f>transport!G54</f>
        <v>598.92197920446733</v>
      </c>
      <c r="I19" s="640">
        <f>transport!H54</f>
        <v>0</v>
      </c>
      <c r="J19" s="640">
        <f>transport!I54</f>
        <v>0</v>
      </c>
      <c r="K19" s="640">
        <f>transport!J54</f>
        <v>0</v>
      </c>
      <c r="L19" s="640">
        <f>transport!K54</f>
        <v>0</v>
      </c>
      <c r="M19" s="640">
        <f>transport!L54</f>
        <v>0</v>
      </c>
      <c r="N19" s="640">
        <f>transport!M54</f>
        <v>26.85616480089806</v>
      </c>
      <c r="O19" s="640">
        <f>transport!N54</f>
        <v>0</v>
      </c>
      <c r="P19" s="640">
        <f>transport!O54</f>
        <v>0</v>
      </c>
      <c r="Q19" s="641">
        <f>transport!P54</f>
        <v>0</v>
      </c>
      <c r="R19" s="643">
        <f>SUM(C19:Q19)</f>
        <v>628.85515089012677</v>
      </c>
      <c r="S19" s="67"/>
    </row>
    <row r="20" spans="1:19" s="444" customFormat="1">
      <c r="A20" s="754" t="s">
        <v>296</v>
      </c>
      <c r="B20" s="759"/>
      <c r="C20" s="640">
        <f>transport!B14</f>
        <v>2.5896521006602495</v>
      </c>
      <c r="D20" s="640">
        <f>transport!C14</f>
        <v>0</v>
      </c>
      <c r="E20" s="640">
        <f>transport!D14</f>
        <v>3.2815263098685041</v>
      </c>
      <c r="F20" s="640">
        <f>transport!E14</f>
        <v>112.78132195299079</v>
      </c>
      <c r="G20" s="640">
        <f>transport!F14</f>
        <v>0</v>
      </c>
      <c r="H20" s="640">
        <f>transport!G14</f>
        <v>26972.513054795891</v>
      </c>
      <c r="I20" s="640">
        <f>transport!H14</f>
        <v>5834.6227982376204</v>
      </c>
      <c r="J20" s="640">
        <f>transport!I14</f>
        <v>0</v>
      </c>
      <c r="K20" s="640">
        <f>transport!J14</f>
        <v>0</v>
      </c>
      <c r="L20" s="640">
        <f>transport!K14</f>
        <v>0</v>
      </c>
      <c r="M20" s="640">
        <f>transport!L14</f>
        <v>0</v>
      </c>
      <c r="N20" s="640">
        <f>transport!M14</f>
        <v>1483.8090641698334</v>
      </c>
      <c r="O20" s="640">
        <f>transport!N14</f>
        <v>0</v>
      </c>
      <c r="P20" s="640">
        <f>transport!O14</f>
        <v>0</v>
      </c>
      <c r="Q20" s="641">
        <f>transport!P14</f>
        <v>0</v>
      </c>
      <c r="R20" s="643">
        <f>SUM(C20:Q20)</f>
        <v>34409.597417566867</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5.6666589854215701</v>
      </c>
      <c r="D22" s="757">
        <f t="shared" ref="D22:R22" si="1">SUM(D18:D21)</f>
        <v>0</v>
      </c>
      <c r="E22" s="757">
        <f t="shared" si="1"/>
        <v>3.2815263098685041</v>
      </c>
      <c r="F22" s="757">
        <f t="shared" si="1"/>
        <v>112.78132195299079</v>
      </c>
      <c r="G22" s="757">
        <f t="shared" si="1"/>
        <v>0</v>
      </c>
      <c r="H22" s="757">
        <f t="shared" si="1"/>
        <v>27571.435034000358</v>
      </c>
      <c r="I22" s="757">
        <f t="shared" si="1"/>
        <v>5834.6227982376204</v>
      </c>
      <c r="J22" s="757">
        <f t="shared" si="1"/>
        <v>0</v>
      </c>
      <c r="K22" s="757">
        <f t="shared" si="1"/>
        <v>0</v>
      </c>
      <c r="L22" s="757">
        <f t="shared" si="1"/>
        <v>0</v>
      </c>
      <c r="M22" s="757">
        <f t="shared" si="1"/>
        <v>0</v>
      </c>
      <c r="N22" s="757">
        <f t="shared" si="1"/>
        <v>1510.6652289707315</v>
      </c>
      <c r="O22" s="757">
        <f t="shared" si="1"/>
        <v>0</v>
      </c>
      <c r="P22" s="757">
        <f t="shared" si="1"/>
        <v>0</v>
      </c>
      <c r="Q22" s="757">
        <f t="shared" si="1"/>
        <v>0</v>
      </c>
      <c r="R22" s="757">
        <f t="shared" si="1"/>
        <v>35038.452568456996</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3611.1930000000002</v>
      </c>
      <c r="D24" s="640">
        <f>+landbouw!C8</f>
        <v>0</v>
      </c>
      <c r="E24" s="640">
        <f>+landbouw!D8</f>
        <v>114.036252</v>
      </c>
      <c r="F24" s="640">
        <f>+landbouw!E8</f>
        <v>74.985375964032684</v>
      </c>
      <c r="G24" s="640">
        <f>+landbouw!F8</f>
        <v>12762.048209097669</v>
      </c>
      <c r="H24" s="640">
        <f>+landbouw!G8</f>
        <v>0</v>
      </c>
      <c r="I24" s="640">
        <f>+landbouw!H8</f>
        <v>0</v>
      </c>
      <c r="J24" s="640">
        <f>+landbouw!I8</f>
        <v>0</v>
      </c>
      <c r="K24" s="640">
        <f>+landbouw!J8</f>
        <v>414.1809969169995</v>
      </c>
      <c r="L24" s="640">
        <f>+landbouw!K8</f>
        <v>0</v>
      </c>
      <c r="M24" s="640">
        <f>+landbouw!L8</f>
        <v>0</v>
      </c>
      <c r="N24" s="640">
        <f>+landbouw!M8</f>
        <v>0</v>
      </c>
      <c r="O24" s="640">
        <f>+landbouw!N8</f>
        <v>0</v>
      </c>
      <c r="P24" s="640">
        <f>+landbouw!O8</f>
        <v>0</v>
      </c>
      <c r="Q24" s="641">
        <f>+landbouw!P8</f>
        <v>0</v>
      </c>
      <c r="R24" s="643">
        <f>SUM(C24:Q24)</f>
        <v>16976.443833978701</v>
      </c>
      <c r="S24" s="67"/>
    </row>
    <row r="25" spans="1:19" s="444" customFormat="1" ht="15" thickBot="1">
      <c r="A25" s="776" t="s">
        <v>806</v>
      </c>
      <c r="B25" s="939"/>
      <c r="C25" s="940">
        <f>IF(Onbekend_ele_kWh="---",0,Onbekend_ele_kWh)/1000+IF(REST_rest_ele_kWh="---",0,REST_rest_ele_kWh)/1000</f>
        <v>358.214</v>
      </c>
      <c r="D25" s="940"/>
      <c r="E25" s="940">
        <f>IF(onbekend_gas_kWh="---",0,onbekend_gas_kWh)/1000+IF(REST_rest_gas_kWh="---",0,REST_rest_gas_kWh)/1000</f>
        <v>246.30199999999999</v>
      </c>
      <c r="F25" s="940"/>
      <c r="G25" s="940"/>
      <c r="H25" s="940"/>
      <c r="I25" s="940"/>
      <c r="J25" s="940"/>
      <c r="K25" s="940"/>
      <c r="L25" s="940"/>
      <c r="M25" s="940"/>
      <c r="N25" s="940"/>
      <c r="O25" s="940"/>
      <c r="P25" s="940"/>
      <c r="Q25" s="941"/>
      <c r="R25" s="643">
        <f>SUM(C25:Q25)</f>
        <v>604.51599999999996</v>
      </c>
      <c r="S25" s="67"/>
    </row>
    <row r="26" spans="1:19" s="444" customFormat="1" ht="15.75" thickBot="1">
      <c r="A26" s="648" t="s">
        <v>807</v>
      </c>
      <c r="B26" s="762"/>
      <c r="C26" s="757">
        <f>SUM(C24:C25)</f>
        <v>3969.4070000000002</v>
      </c>
      <c r="D26" s="757">
        <f t="shared" ref="D26:R26" si="2">SUM(D24:D25)</f>
        <v>0</v>
      </c>
      <c r="E26" s="757">
        <f t="shared" si="2"/>
        <v>360.33825200000001</v>
      </c>
      <c r="F26" s="757">
        <f t="shared" si="2"/>
        <v>74.985375964032684</v>
      </c>
      <c r="G26" s="757">
        <f t="shared" si="2"/>
        <v>12762.048209097669</v>
      </c>
      <c r="H26" s="757">
        <f t="shared" si="2"/>
        <v>0</v>
      </c>
      <c r="I26" s="757">
        <f t="shared" si="2"/>
        <v>0</v>
      </c>
      <c r="J26" s="757">
        <f t="shared" si="2"/>
        <v>0</v>
      </c>
      <c r="K26" s="757">
        <f t="shared" si="2"/>
        <v>414.1809969169995</v>
      </c>
      <c r="L26" s="757">
        <f t="shared" si="2"/>
        <v>0</v>
      </c>
      <c r="M26" s="757">
        <f t="shared" si="2"/>
        <v>0</v>
      </c>
      <c r="N26" s="757">
        <f t="shared" si="2"/>
        <v>0</v>
      </c>
      <c r="O26" s="757">
        <f t="shared" si="2"/>
        <v>0</v>
      </c>
      <c r="P26" s="757">
        <f t="shared" si="2"/>
        <v>0</v>
      </c>
      <c r="Q26" s="757">
        <f t="shared" si="2"/>
        <v>0</v>
      </c>
      <c r="R26" s="757">
        <f t="shared" si="2"/>
        <v>17580.959833978701</v>
      </c>
      <c r="S26" s="67"/>
    </row>
    <row r="27" spans="1:19" s="444" customFormat="1" ht="17.25" thickTop="1" thickBot="1">
      <c r="A27" s="649" t="s">
        <v>109</v>
      </c>
      <c r="B27" s="749"/>
      <c r="C27" s="650">
        <f ca="1">C22+C16+C26</f>
        <v>24136.845409440924</v>
      </c>
      <c r="D27" s="650">
        <f t="shared" ref="D27:R27" ca="1" si="3">D22+D16+D26</f>
        <v>0</v>
      </c>
      <c r="E27" s="650">
        <f t="shared" ca="1" si="3"/>
        <v>10063.506788309869</v>
      </c>
      <c r="F27" s="650">
        <f t="shared" si="3"/>
        <v>1916.6132719972252</v>
      </c>
      <c r="G27" s="650">
        <f t="shared" ca="1" si="3"/>
        <v>61845.758091472075</v>
      </c>
      <c r="H27" s="650">
        <f t="shared" si="3"/>
        <v>27571.435034000358</v>
      </c>
      <c r="I27" s="650">
        <f t="shared" si="3"/>
        <v>5834.6227982376204</v>
      </c>
      <c r="J27" s="650">
        <f t="shared" si="3"/>
        <v>0</v>
      </c>
      <c r="K27" s="650">
        <f t="shared" si="3"/>
        <v>1324.6058377478787</v>
      </c>
      <c r="L27" s="650">
        <f t="shared" si="3"/>
        <v>0</v>
      </c>
      <c r="M27" s="650">
        <f t="shared" ca="1" si="3"/>
        <v>0</v>
      </c>
      <c r="N27" s="650">
        <f t="shared" si="3"/>
        <v>1510.6652289707315</v>
      </c>
      <c r="O27" s="650">
        <f t="shared" ca="1" si="3"/>
        <v>6044.6716648363408</v>
      </c>
      <c r="P27" s="650">
        <f t="shared" si="3"/>
        <v>96.926666666666677</v>
      </c>
      <c r="Q27" s="650">
        <f t="shared" si="3"/>
        <v>362.26666666666665</v>
      </c>
      <c r="R27" s="650">
        <f t="shared" ca="1" si="3"/>
        <v>140707.91745834635</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796.09275183244461</v>
      </c>
      <c r="D40" s="640">
        <f ca="1">tertiair!C20</f>
        <v>0</v>
      </c>
      <c r="E40" s="640">
        <f ca="1">tertiair!D20</f>
        <v>210.23116589200004</v>
      </c>
      <c r="F40" s="640">
        <f>tertiair!E20</f>
        <v>4.4004598033753037</v>
      </c>
      <c r="G40" s="640">
        <f ca="1">tertiair!F20</f>
        <v>101.45949935257461</v>
      </c>
      <c r="H40" s="640">
        <f>tertiair!G20</f>
        <v>0</v>
      </c>
      <c r="I40" s="640">
        <f>tertiair!H20</f>
        <v>0</v>
      </c>
      <c r="J40" s="640">
        <f>tertiair!I20</f>
        <v>0</v>
      </c>
      <c r="K40" s="640">
        <f>tertiair!J20</f>
        <v>4.1232271932906626</v>
      </c>
      <c r="L40" s="640">
        <f>tertiair!K20</f>
        <v>0</v>
      </c>
      <c r="M40" s="640">
        <f ca="1">tertiair!L20</f>
        <v>0</v>
      </c>
      <c r="N40" s="640">
        <f>tertiair!M20</f>
        <v>0</v>
      </c>
      <c r="O40" s="640">
        <f ca="1">tertiair!N20</f>
        <v>0</v>
      </c>
      <c r="P40" s="640">
        <f>tertiair!O20</f>
        <v>0</v>
      </c>
      <c r="Q40" s="717">
        <f>tertiair!P20</f>
        <v>0</v>
      </c>
      <c r="R40" s="795">
        <f t="shared" ca="1" si="4"/>
        <v>1116.3071040736852</v>
      </c>
    </row>
    <row r="41" spans="1:18">
      <c r="A41" s="767" t="s">
        <v>214</v>
      </c>
      <c r="B41" s="774"/>
      <c r="C41" s="640">
        <f ca="1">huishoudens!B12</f>
        <v>2787.0913119546431</v>
      </c>
      <c r="D41" s="640">
        <f ca="1">huishoudens!C12</f>
        <v>0</v>
      </c>
      <c r="E41" s="640">
        <f>huishoudens!D12</f>
        <v>1703.2284156800004</v>
      </c>
      <c r="F41" s="640">
        <f>huishoudens!E12</f>
        <v>351.4340367530998</v>
      </c>
      <c r="G41" s="640">
        <f>huishoudens!F12</f>
        <v>12667.635273780033</v>
      </c>
      <c r="H41" s="640">
        <f>huishoudens!G12</f>
        <v>0</v>
      </c>
      <c r="I41" s="640">
        <f>huishoudens!H12</f>
        <v>0</v>
      </c>
      <c r="J41" s="640">
        <f>huishoudens!I12</f>
        <v>0</v>
      </c>
      <c r="K41" s="640">
        <f>huishoudens!J12</f>
        <v>318.06938265741593</v>
      </c>
      <c r="L41" s="640">
        <f>huishoudens!K12</f>
        <v>0</v>
      </c>
      <c r="M41" s="640">
        <f>huishoudens!L12</f>
        <v>0</v>
      </c>
      <c r="N41" s="640">
        <f>huishoudens!M12</f>
        <v>0</v>
      </c>
      <c r="O41" s="640">
        <f>huishoudens!N12</f>
        <v>0</v>
      </c>
      <c r="P41" s="640">
        <f>huishoudens!O12</f>
        <v>0</v>
      </c>
      <c r="Q41" s="717">
        <f>huishoudens!P12</f>
        <v>0</v>
      </c>
      <c r="R41" s="795">
        <f t="shared" ca="1" si="4"/>
        <v>17827.458420825194</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237.05352281347311</v>
      </c>
      <c r="D43" s="640">
        <f ca="1">industrie!C22</f>
        <v>0</v>
      </c>
      <c r="E43" s="640">
        <f>industrie!D22</f>
        <v>45.917594448000003</v>
      </c>
      <c r="F43" s="640">
        <f>industrie!E22</f>
        <v>36.61367575973069</v>
      </c>
      <c r="G43" s="640">
        <f>industrie!F22</f>
        <v>336.25576546135801</v>
      </c>
      <c r="H43" s="640">
        <f>industrie!G22</f>
        <v>0</v>
      </c>
      <c r="I43" s="640">
        <f>industrie!H22</f>
        <v>0</v>
      </c>
      <c r="J43" s="640">
        <f>industrie!I22</f>
        <v>0</v>
      </c>
      <c r="K43" s="640">
        <f>industrie!J22</f>
        <v>9.7783803424637369E-2</v>
      </c>
      <c r="L43" s="640">
        <f>industrie!K22</f>
        <v>0</v>
      </c>
      <c r="M43" s="640">
        <f>industrie!L22</f>
        <v>0</v>
      </c>
      <c r="N43" s="640">
        <f>industrie!M22</f>
        <v>0</v>
      </c>
      <c r="O43" s="640">
        <f>industrie!N22</f>
        <v>0</v>
      </c>
      <c r="P43" s="640">
        <f>industrie!O22</f>
        <v>0</v>
      </c>
      <c r="Q43" s="717">
        <f>industrie!P22</f>
        <v>0</v>
      </c>
      <c r="R43" s="794">
        <f t="shared" ca="1" si="4"/>
        <v>655.93834228598644</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3820.2375866005609</v>
      </c>
      <c r="D46" s="675">
        <f t="shared" ref="D46:Q46" ca="1" si="5">SUM(D39:D45)</f>
        <v>0</v>
      </c>
      <c r="E46" s="675">
        <f t="shared" ca="1" si="5"/>
        <v>1959.3771760200004</v>
      </c>
      <c r="F46" s="675">
        <f t="shared" si="5"/>
        <v>392.44817231620584</v>
      </c>
      <c r="G46" s="675">
        <f t="shared" ca="1" si="5"/>
        <v>13105.350538593966</v>
      </c>
      <c r="H46" s="675">
        <f t="shared" si="5"/>
        <v>0</v>
      </c>
      <c r="I46" s="675">
        <f t="shared" si="5"/>
        <v>0</v>
      </c>
      <c r="J46" s="675">
        <f t="shared" si="5"/>
        <v>0</v>
      </c>
      <c r="K46" s="675">
        <f t="shared" si="5"/>
        <v>322.29039365413126</v>
      </c>
      <c r="L46" s="675">
        <f t="shared" si="5"/>
        <v>0</v>
      </c>
      <c r="M46" s="675">
        <f t="shared" ca="1" si="5"/>
        <v>0</v>
      </c>
      <c r="N46" s="675">
        <f t="shared" si="5"/>
        <v>0</v>
      </c>
      <c r="O46" s="675">
        <f t="shared" ca="1" si="5"/>
        <v>0</v>
      </c>
      <c r="P46" s="675">
        <f t="shared" si="5"/>
        <v>0</v>
      </c>
      <c r="Q46" s="675">
        <f t="shared" si="5"/>
        <v>0</v>
      </c>
      <c r="R46" s="675">
        <f ca="1">SUM(R39:R45)</f>
        <v>19599.703867184868</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0.58302898678179538</v>
      </c>
      <c r="D49" s="640">
        <f ca="1">transport!C58</f>
        <v>0</v>
      </c>
      <c r="E49" s="640">
        <f>transport!D58</f>
        <v>0</v>
      </c>
      <c r="F49" s="640">
        <f>transport!E58</f>
        <v>0</v>
      </c>
      <c r="G49" s="640">
        <f>transport!F58</f>
        <v>0</v>
      </c>
      <c r="H49" s="640">
        <f>transport!G58</f>
        <v>159.91216844759279</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160.49519743437457</v>
      </c>
    </row>
    <row r="50" spans="1:18">
      <c r="A50" s="770" t="s">
        <v>296</v>
      </c>
      <c r="B50" s="780"/>
      <c r="C50" s="646">
        <f ca="1">transport!B18</f>
        <v>0.4906853630528713</v>
      </c>
      <c r="D50" s="646">
        <f>transport!C18</f>
        <v>0</v>
      </c>
      <c r="E50" s="646">
        <f>transport!D18</f>
        <v>0.66286831459343787</v>
      </c>
      <c r="F50" s="646">
        <f>transport!E18</f>
        <v>25.60136008332891</v>
      </c>
      <c r="G50" s="646">
        <f>transport!F18</f>
        <v>0</v>
      </c>
      <c r="H50" s="646">
        <f>transport!G18</f>
        <v>7201.6609856305031</v>
      </c>
      <c r="I50" s="646">
        <f>transport!H18</f>
        <v>1452.8210767611674</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8681.2369761526461</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1.0737143498346666</v>
      </c>
      <c r="D52" s="675">
        <f t="shared" ref="D52:Q52" ca="1" si="6">SUM(D48:D51)</f>
        <v>0</v>
      </c>
      <c r="E52" s="675">
        <f t="shared" si="6"/>
        <v>0.66286831459343787</v>
      </c>
      <c r="F52" s="675">
        <f t="shared" si="6"/>
        <v>25.60136008332891</v>
      </c>
      <c r="G52" s="675">
        <f t="shared" si="6"/>
        <v>0</v>
      </c>
      <c r="H52" s="675">
        <f t="shared" si="6"/>
        <v>7361.5731540780962</v>
      </c>
      <c r="I52" s="675">
        <f t="shared" si="6"/>
        <v>1452.8210767611674</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8841.732173587021</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684.24617646795662</v>
      </c>
      <c r="D54" s="646">
        <f ca="1">+landbouw!C12</f>
        <v>0</v>
      </c>
      <c r="E54" s="646">
        <f>+landbouw!D12</f>
        <v>23.035322904000001</v>
      </c>
      <c r="F54" s="646">
        <f>+landbouw!E12</f>
        <v>17.021680343835421</v>
      </c>
      <c r="G54" s="646">
        <f>+landbouw!F12</f>
        <v>3407.4668718290777</v>
      </c>
      <c r="H54" s="646">
        <f>+landbouw!G12</f>
        <v>0</v>
      </c>
      <c r="I54" s="646">
        <f>+landbouw!H12</f>
        <v>0</v>
      </c>
      <c r="J54" s="646">
        <f>+landbouw!I12</f>
        <v>0</v>
      </c>
      <c r="K54" s="646">
        <f>+landbouw!J12</f>
        <v>146.62007290861783</v>
      </c>
      <c r="L54" s="646">
        <f>+landbouw!K12</f>
        <v>0</v>
      </c>
      <c r="M54" s="646">
        <f>+landbouw!L12</f>
        <v>0</v>
      </c>
      <c r="N54" s="646">
        <f>+landbouw!M12</f>
        <v>0</v>
      </c>
      <c r="O54" s="646">
        <f>+landbouw!N12</f>
        <v>0</v>
      </c>
      <c r="P54" s="646">
        <f>+landbouw!O12</f>
        <v>0</v>
      </c>
      <c r="Q54" s="647">
        <f>+landbouw!P12</f>
        <v>0</v>
      </c>
      <c r="R54" s="674">
        <f ca="1">SUM(C54:Q54)</f>
        <v>4278.3901244534873</v>
      </c>
    </row>
    <row r="55" spans="1:18" ht="15" thickBot="1">
      <c r="A55" s="770" t="s">
        <v>806</v>
      </c>
      <c r="B55" s="780"/>
      <c r="C55" s="646">
        <f ca="1">C25*'EF ele_warmte'!B12</f>
        <v>67.874123553433066</v>
      </c>
      <c r="D55" s="646"/>
      <c r="E55" s="646">
        <f>E25*EF_CO2_aardgas</f>
        <v>49.753004000000004</v>
      </c>
      <c r="F55" s="646"/>
      <c r="G55" s="646"/>
      <c r="H55" s="646"/>
      <c r="I55" s="646"/>
      <c r="J55" s="646"/>
      <c r="K55" s="646"/>
      <c r="L55" s="646"/>
      <c r="M55" s="646"/>
      <c r="N55" s="646"/>
      <c r="O55" s="646"/>
      <c r="P55" s="646"/>
      <c r="Q55" s="647"/>
      <c r="R55" s="674">
        <f ca="1">SUM(C55:Q55)</f>
        <v>117.62712755343307</v>
      </c>
    </row>
    <row r="56" spans="1:18" ht="15.75" thickBot="1">
      <c r="A56" s="768" t="s">
        <v>807</v>
      </c>
      <c r="B56" s="781"/>
      <c r="C56" s="675">
        <f ca="1">SUM(C54:C55)</f>
        <v>752.12030002138965</v>
      </c>
      <c r="D56" s="675">
        <f t="shared" ref="D56:Q56" ca="1" si="7">SUM(D54:D55)</f>
        <v>0</v>
      </c>
      <c r="E56" s="675">
        <f t="shared" si="7"/>
        <v>72.788326904000002</v>
      </c>
      <c r="F56" s="675">
        <f t="shared" si="7"/>
        <v>17.021680343835421</v>
      </c>
      <c r="G56" s="675">
        <f t="shared" si="7"/>
        <v>3407.4668718290777</v>
      </c>
      <c r="H56" s="675">
        <f t="shared" si="7"/>
        <v>0</v>
      </c>
      <c r="I56" s="675">
        <f t="shared" si="7"/>
        <v>0</v>
      </c>
      <c r="J56" s="675">
        <f t="shared" si="7"/>
        <v>0</v>
      </c>
      <c r="K56" s="675">
        <f t="shared" si="7"/>
        <v>146.62007290861783</v>
      </c>
      <c r="L56" s="675">
        <f t="shared" si="7"/>
        <v>0</v>
      </c>
      <c r="M56" s="675">
        <f t="shared" si="7"/>
        <v>0</v>
      </c>
      <c r="N56" s="675">
        <f t="shared" si="7"/>
        <v>0</v>
      </c>
      <c r="O56" s="675">
        <f t="shared" si="7"/>
        <v>0</v>
      </c>
      <c r="P56" s="675">
        <f t="shared" si="7"/>
        <v>0</v>
      </c>
      <c r="Q56" s="676">
        <f t="shared" si="7"/>
        <v>0</v>
      </c>
      <c r="R56" s="677">
        <f ca="1">SUM(R54:R55)</f>
        <v>4396.01725200692</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4573.431600971785</v>
      </c>
      <c r="D61" s="683">
        <f t="shared" ref="D61:Q61" ca="1" si="8">D46+D52+D56</f>
        <v>0</v>
      </c>
      <c r="E61" s="683">
        <f t="shared" ca="1" si="8"/>
        <v>2032.8283712385939</v>
      </c>
      <c r="F61" s="683">
        <f t="shared" si="8"/>
        <v>435.07121274337021</v>
      </c>
      <c r="G61" s="683">
        <f t="shared" ca="1" si="8"/>
        <v>16512.817410423042</v>
      </c>
      <c r="H61" s="683">
        <f t="shared" si="8"/>
        <v>7361.5731540780962</v>
      </c>
      <c r="I61" s="683">
        <f t="shared" si="8"/>
        <v>1452.8210767611674</v>
      </c>
      <c r="J61" s="683">
        <f t="shared" si="8"/>
        <v>0</v>
      </c>
      <c r="K61" s="683">
        <f t="shared" si="8"/>
        <v>468.91046656274909</v>
      </c>
      <c r="L61" s="683">
        <f t="shared" si="8"/>
        <v>0</v>
      </c>
      <c r="M61" s="683">
        <f t="shared" ca="1" si="8"/>
        <v>0</v>
      </c>
      <c r="N61" s="683">
        <f t="shared" si="8"/>
        <v>0</v>
      </c>
      <c r="O61" s="683">
        <f t="shared" ca="1" si="8"/>
        <v>0</v>
      </c>
      <c r="P61" s="683">
        <f t="shared" si="8"/>
        <v>0</v>
      </c>
      <c r="Q61" s="683">
        <f t="shared" si="8"/>
        <v>0</v>
      </c>
      <c r="R61" s="683">
        <f ca="1">R46+R52+R56</f>
        <v>32837.45329277881</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0.18947925975375909</v>
      </c>
      <c r="D63" s="726">
        <f t="shared" ca="1" si="9"/>
        <v>0</v>
      </c>
      <c r="E63" s="946">
        <f t="shared" ca="1" si="9"/>
        <v>0.20200000000000004</v>
      </c>
      <c r="F63" s="726">
        <f t="shared" si="9"/>
        <v>0.22700000000000006</v>
      </c>
      <c r="G63" s="726">
        <f t="shared" ca="1" si="9"/>
        <v>0.26699999999999996</v>
      </c>
      <c r="H63" s="726">
        <f t="shared" si="9"/>
        <v>0.26700000000000002</v>
      </c>
      <c r="I63" s="726">
        <f t="shared" si="9"/>
        <v>0.249</v>
      </c>
      <c r="J63" s="726">
        <f t="shared" si="9"/>
        <v>0</v>
      </c>
      <c r="K63" s="726">
        <f t="shared" si="9"/>
        <v>0.35400000000000004</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3442.5847715595464</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3442.5847715595464</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14709.215750455505</v>
      </c>
      <c r="C4" s="448">
        <f>huishoudens!C8</f>
        <v>0</v>
      </c>
      <c r="D4" s="448">
        <f>huishoudens!D8</f>
        <v>8431.8238400000009</v>
      </c>
      <c r="E4" s="448">
        <f>huishoudens!E8</f>
        <v>1548.1675627889858</v>
      </c>
      <c r="F4" s="448">
        <f>huishoudens!F8</f>
        <v>47444.326868090007</v>
      </c>
      <c r="G4" s="448">
        <f>huishoudens!G8</f>
        <v>0</v>
      </c>
      <c r="H4" s="448">
        <f>huishoudens!H8</f>
        <v>0</v>
      </c>
      <c r="I4" s="448">
        <f>huishoudens!I8</f>
        <v>0</v>
      </c>
      <c r="J4" s="448">
        <f>huishoudens!J8</f>
        <v>898.50108095315238</v>
      </c>
      <c r="K4" s="448">
        <f>huishoudens!K8</f>
        <v>0</v>
      </c>
      <c r="L4" s="448">
        <f>huishoudens!L8</f>
        <v>0</v>
      </c>
      <c r="M4" s="448">
        <f>huishoudens!M8</f>
        <v>0</v>
      </c>
      <c r="N4" s="448">
        <f>huishoudens!N8</f>
        <v>5663.501547431053</v>
      </c>
      <c r="O4" s="448">
        <f>huishoudens!O8</f>
        <v>96.926666666666677</v>
      </c>
      <c r="P4" s="449">
        <f>huishoudens!P8</f>
        <v>362.26666666666665</v>
      </c>
      <c r="Q4" s="450">
        <f>SUM(B4:P4)</f>
        <v>79154.729983052021</v>
      </c>
    </row>
    <row r="5" spans="1:17">
      <c r="A5" s="447" t="s">
        <v>149</v>
      </c>
      <c r="B5" s="448">
        <f ca="1">tertiair!B16</f>
        <v>3537.7870000000007</v>
      </c>
      <c r="C5" s="448">
        <f ca="1">tertiair!C16</f>
        <v>0</v>
      </c>
      <c r="D5" s="448">
        <f ca="1">tertiair!D16</f>
        <v>1040.7483460000001</v>
      </c>
      <c r="E5" s="448">
        <f>tertiair!E16</f>
        <v>19.385285477424244</v>
      </c>
      <c r="F5" s="448">
        <f ca="1">tertiair!F16</f>
        <v>379.99812491600977</v>
      </c>
      <c r="G5" s="448">
        <f>tertiair!G16</f>
        <v>0</v>
      </c>
      <c r="H5" s="448">
        <f>tertiair!H16</f>
        <v>0</v>
      </c>
      <c r="I5" s="448">
        <f>tertiair!I16</f>
        <v>0</v>
      </c>
      <c r="J5" s="448">
        <f>tertiair!J16</f>
        <v>11.647534444323906</v>
      </c>
      <c r="K5" s="448">
        <f>tertiair!K16</f>
        <v>0</v>
      </c>
      <c r="L5" s="448">
        <f ca="1">tertiair!L16</f>
        <v>0</v>
      </c>
      <c r="M5" s="448">
        <f>tertiair!M16</f>
        <v>0</v>
      </c>
      <c r="N5" s="448">
        <f ca="1">tertiair!N16</f>
        <v>146.17457282864177</v>
      </c>
      <c r="O5" s="448">
        <f>tertiair!O16</f>
        <v>0</v>
      </c>
      <c r="P5" s="449">
        <f>tertiair!P16</f>
        <v>0</v>
      </c>
      <c r="Q5" s="447">
        <f t="shared" ref="Q5:Q14" ca="1" si="0">SUM(B5:P5)</f>
        <v>5135.7408636664004</v>
      </c>
    </row>
    <row r="6" spans="1:17">
      <c r="A6" s="447" t="s">
        <v>187</v>
      </c>
      <c r="B6" s="448">
        <f>'openbare verlichting'!B8</f>
        <v>663.69</v>
      </c>
      <c r="C6" s="448"/>
      <c r="D6" s="448"/>
      <c r="E6" s="448"/>
      <c r="F6" s="448"/>
      <c r="G6" s="448"/>
      <c r="H6" s="448"/>
      <c r="I6" s="448"/>
      <c r="J6" s="448"/>
      <c r="K6" s="448"/>
      <c r="L6" s="448"/>
      <c r="M6" s="448"/>
      <c r="N6" s="448"/>
      <c r="O6" s="448"/>
      <c r="P6" s="449"/>
      <c r="Q6" s="447">
        <f t="shared" si="0"/>
        <v>663.69</v>
      </c>
    </row>
    <row r="7" spans="1:17">
      <c r="A7" s="447" t="s">
        <v>105</v>
      </c>
      <c r="B7" s="448">
        <f>landbouw!B8</f>
        <v>3611.1930000000002</v>
      </c>
      <c r="C7" s="448">
        <f>landbouw!C8</f>
        <v>0</v>
      </c>
      <c r="D7" s="448">
        <f>landbouw!D8</f>
        <v>114.036252</v>
      </c>
      <c r="E7" s="448">
        <f>landbouw!E8</f>
        <v>74.985375964032684</v>
      </c>
      <c r="F7" s="448">
        <f>landbouw!F8</f>
        <v>12762.048209097669</v>
      </c>
      <c r="G7" s="448">
        <f>landbouw!G8</f>
        <v>0</v>
      </c>
      <c r="H7" s="448">
        <f>landbouw!H8</f>
        <v>0</v>
      </c>
      <c r="I7" s="448">
        <f>landbouw!I8</f>
        <v>0</v>
      </c>
      <c r="J7" s="448">
        <f>landbouw!J8</f>
        <v>414.1809969169995</v>
      </c>
      <c r="K7" s="448">
        <f>landbouw!K8</f>
        <v>0</v>
      </c>
      <c r="L7" s="448">
        <f>landbouw!L8</f>
        <v>0</v>
      </c>
      <c r="M7" s="448">
        <f>landbouw!M8</f>
        <v>0</v>
      </c>
      <c r="N7" s="448">
        <f>landbouw!N8</f>
        <v>0</v>
      </c>
      <c r="O7" s="448">
        <f>landbouw!O8</f>
        <v>0</v>
      </c>
      <c r="P7" s="449">
        <f>landbouw!P8</f>
        <v>0</v>
      </c>
      <c r="Q7" s="447">
        <f t="shared" si="0"/>
        <v>16976.443833978701</v>
      </c>
    </row>
    <row r="8" spans="1:17">
      <c r="A8" s="447" t="s">
        <v>614</v>
      </c>
      <c r="B8" s="448">
        <f>industrie!B18</f>
        <v>1251.0789999999997</v>
      </c>
      <c r="C8" s="448">
        <f>industrie!C18</f>
        <v>0</v>
      </c>
      <c r="D8" s="448">
        <f>industrie!D18</f>
        <v>227.31482399999999</v>
      </c>
      <c r="E8" s="448">
        <f>industrie!E18</f>
        <v>161.29372581379158</v>
      </c>
      <c r="F8" s="448">
        <f>industrie!F18</f>
        <v>1259.3848893683819</v>
      </c>
      <c r="G8" s="448">
        <f>industrie!G18</f>
        <v>0</v>
      </c>
      <c r="H8" s="448">
        <f>industrie!H18</f>
        <v>0</v>
      </c>
      <c r="I8" s="448">
        <f>industrie!I18</f>
        <v>0</v>
      </c>
      <c r="J8" s="448">
        <f>industrie!J18</f>
        <v>0.27622543340293043</v>
      </c>
      <c r="K8" s="448">
        <f>industrie!K18</f>
        <v>0</v>
      </c>
      <c r="L8" s="448">
        <f>industrie!L18</f>
        <v>0</v>
      </c>
      <c r="M8" s="448">
        <f>industrie!M18</f>
        <v>0</v>
      </c>
      <c r="N8" s="448">
        <f>industrie!N18</f>
        <v>234.99554457664661</v>
      </c>
      <c r="O8" s="448">
        <f>industrie!O18</f>
        <v>0</v>
      </c>
      <c r="P8" s="449">
        <f>industrie!P18</f>
        <v>0</v>
      </c>
      <c r="Q8" s="447">
        <f t="shared" si="0"/>
        <v>3134.3442091922229</v>
      </c>
    </row>
    <row r="9" spans="1:17" s="453" customFormat="1">
      <c r="A9" s="451" t="s">
        <v>555</v>
      </c>
      <c r="B9" s="452">
        <f>transport!B14</f>
        <v>2.5896521006602495</v>
      </c>
      <c r="C9" s="452">
        <f>transport!C14</f>
        <v>0</v>
      </c>
      <c r="D9" s="452">
        <f>transport!D14</f>
        <v>3.2815263098685041</v>
      </c>
      <c r="E9" s="452">
        <f>transport!E14</f>
        <v>112.78132195299079</v>
      </c>
      <c r="F9" s="452">
        <f>transport!F14</f>
        <v>0</v>
      </c>
      <c r="G9" s="452">
        <f>transport!G14</f>
        <v>26972.513054795891</v>
      </c>
      <c r="H9" s="452">
        <f>transport!H14</f>
        <v>5834.6227982376204</v>
      </c>
      <c r="I9" s="452">
        <f>transport!I14</f>
        <v>0</v>
      </c>
      <c r="J9" s="452">
        <f>transport!J14</f>
        <v>0</v>
      </c>
      <c r="K9" s="452">
        <f>transport!K14</f>
        <v>0</v>
      </c>
      <c r="L9" s="452">
        <f>transport!L14</f>
        <v>0</v>
      </c>
      <c r="M9" s="452">
        <f>transport!M14</f>
        <v>1483.8090641698334</v>
      </c>
      <c r="N9" s="452">
        <f>transport!N14</f>
        <v>0</v>
      </c>
      <c r="O9" s="452">
        <f>transport!O14</f>
        <v>0</v>
      </c>
      <c r="P9" s="452">
        <f>transport!P14</f>
        <v>0</v>
      </c>
      <c r="Q9" s="451">
        <f>SUM(B9:P9)</f>
        <v>34409.597417566867</v>
      </c>
    </row>
    <row r="10" spans="1:17">
      <c r="A10" s="447" t="s">
        <v>545</v>
      </c>
      <c r="B10" s="448">
        <f>transport!B54</f>
        <v>3.0770068847613206</v>
      </c>
      <c r="C10" s="448">
        <f>transport!C54</f>
        <v>0</v>
      </c>
      <c r="D10" s="448">
        <f>transport!D54</f>
        <v>0</v>
      </c>
      <c r="E10" s="448">
        <f>transport!E54</f>
        <v>0</v>
      </c>
      <c r="F10" s="448">
        <f>transport!F54</f>
        <v>0</v>
      </c>
      <c r="G10" s="448">
        <f>transport!G54</f>
        <v>598.92197920446733</v>
      </c>
      <c r="H10" s="448">
        <f>transport!H54</f>
        <v>0</v>
      </c>
      <c r="I10" s="448">
        <f>transport!I54</f>
        <v>0</v>
      </c>
      <c r="J10" s="448">
        <f>transport!J54</f>
        <v>0</v>
      </c>
      <c r="K10" s="448">
        <f>transport!K54</f>
        <v>0</v>
      </c>
      <c r="L10" s="448">
        <f>transport!L54</f>
        <v>0</v>
      </c>
      <c r="M10" s="448">
        <f>transport!M54</f>
        <v>26.85616480089806</v>
      </c>
      <c r="N10" s="448">
        <f>transport!N54</f>
        <v>0</v>
      </c>
      <c r="O10" s="448">
        <f>transport!O54</f>
        <v>0</v>
      </c>
      <c r="P10" s="449">
        <f>transport!P54</f>
        <v>0</v>
      </c>
      <c r="Q10" s="447">
        <f t="shared" si="0"/>
        <v>628.85515089012677</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358.214</v>
      </c>
      <c r="C14" s="455"/>
      <c r="D14" s="455">
        <f>'SEAP template'!E25</f>
        <v>246.30199999999999</v>
      </c>
      <c r="E14" s="455"/>
      <c r="F14" s="455"/>
      <c r="G14" s="455"/>
      <c r="H14" s="455"/>
      <c r="I14" s="455"/>
      <c r="J14" s="455"/>
      <c r="K14" s="455"/>
      <c r="L14" s="455"/>
      <c r="M14" s="455"/>
      <c r="N14" s="455"/>
      <c r="O14" s="455"/>
      <c r="P14" s="456"/>
      <c r="Q14" s="447">
        <f t="shared" si="0"/>
        <v>604.51599999999996</v>
      </c>
    </row>
    <row r="15" spans="1:17" s="460" customFormat="1">
      <c r="A15" s="457" t="s">
        <v>549</v>
      </c>
      <c r="B15" s="458">
        <f ca="1">SUM(B4:B14)</f>
        <v>24136.845409440924</v>
      </c>
      <c r="C15" s="458">
        <f t="shared" ref="C15:Q15" ca="1" si="1">SUM(C4:C14)</f>
        <v>0</v>
      </c>
      <c r="D15" s="458">
        <f t="shared" ca="1" si="1"/>
        <v>10063.506788309869</v>
      </c>
      <c r="E15" s="458">
        <f t="shared" si="1"/>
        <v>1916.6132719972252</v>
      </c>
      <c r="F15" s="458">
        <f t="shared" ca="1" si="1"/>
        <v>61845.758091472067</v>
      </c>
      <c r="G15" s="458">
        <f t="shared" si="1"/>
        <v>27571.435034000358</v>
      </c>
      <c r="H15" s="458">
        <f t="shared" si="1"/>
        <v>5834.6227982376204</v>
      </c>
      <c r="I15" s="458">
        <f t="shared" si="1"/>
        <v>0</v>
      </c>
      <c r="J15" s="458">
        <f t="shared" si="1"/>
        <v>1324.6058377478787</v>
      </c>
      <c r="K15" s="458">
        <f t="shared" si="1"/>
        <v>0</v>
      </c>
      <c r="L15" s="458">
        <f t="shared" ca="1" si="1"/>
        <v>0</v>
      </c>
      <c r="M15" s="458">
        <f t="shared" si="1"/>
        <v>1510.6652289707315</v>
      </c>
      <c r="N15" s="458">
        <f t="shared" ca="1" si="1"/>
        <v>6044.6716648363408</v>
      </c>
      <c r="O15" s="458">
        <f t="shared" si="1"/>
        <v>96.926666666666677</v>
      </c>
      <c r="P15" s="458">
        <f t="shared" si="1"/>
        <v>362.26666666666665</v>
      </c>
      <c r="Q15" s="458">
        <f t="shared" ca="1" si="1"/>
        <v>140707.91745834635</v>
      </c>
    </row>
    <row r="17" spans="1:17">
      <c r="A17" s="461" t="s">
        <v>550</v>
      </c>
      <c r="B17" s="731">
        <f ca="1">huishoudens!B10</f>
        <v>0.18947925975375909</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2787.0913119546431</v>
      </c>
      <c r="C22" s="448">
        <f t="shared" ref="C22:C32" ca="1" si="3">C4*$C$17</f>
        <v>0</v>
      </c>
      <c r="D22" s="448">
        <f t="shared" ref="D22:D32" si="4">D4*$D$17</f>
        <v>1703.2284156800004</v>
      </c>
      <c r="E22" s="448">
        <f t="shared" ref="E22:E32" si="5">E4*$E$17</f>
        <v>351.4340367530998</v>
      </c>
      <c r="F22" s="448">
        <f t="shared" ref="F22:F32" si="6">F4*$F$17</f>
        <v>12667.635273780033</v>
      </c>
      <c r="G22" s="448">
        <f t="shared" ref="G22:G32" si="7">G4*$G$17</f>
        <v>0</v>
      </c>
      <c r="H22" s="448">
        <f t="shared" ref="H22:H32" si="8">H4*$H$17</f>
        <v>0</v>
      </c>
      <c r="I22" s="448">
        <f t="shared" ref="I22:I32" si="9">I4*$I$17</f>
        <v>0</v>
      </c>
      <c r="J22" s="448">
        <f t="shared" ref="J22:J32" si="10">J4*$J$17</f>
        <v>318.06938265741593</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17827.458420825194</v>
      </c>
    </row>
    <row r="23" spans="1:17">
      <c r="A23" s="447" t="s">
        <v>149</v>
      </c>
      <c r="B23" s="448">
        <f t="shared" ca="1" si="2"/>
        <v>670.33726192647225</v>
      </c>
      <c r="C23" s="448">
        <f t="shared" ca="1" si="3"/>
        <v>0</v>
      </c>
      <c r="D23" s="448">
        <f t="shared" ca="1" si="4"/>
        <v>210.23116589200004</v>
      </c>
      <c r="E23" s="448">
        <f t="shared" si="5"/>
        <v>4.4004598033753037</v>
      </c>
      <c r="F23" s="448">
        <f t="shared" ca="1" si="6"/>
        <v>101.45949935257461</v>
      </c>
      <c r="G23" s="448">
        <f t="shared" si="7"/>
        <v>0</v>
      </c>
      <c r="H23" s="448">
        <f t="shared" si="8"/>
        <v>0</v>
      </c>
      <c r="I23" s="448">
        <f t="shared" si="9"/>
        <v>0</v>
      </c>
      <c r="J23" s="448">
        <f t="shared" si="10"/>
        <v>4.1232271932906626</v>
      </c>
      <c r="K23" s="448">
        <f t="shared" si="11"/>
        <v>0</v>
      </c>
      <c r="L23" s="448">
        <f t="shared" ca="1" si="12"/>
        <v>0</v>
      </c>
      <c r="M23" s="448">
        <f t="shared" si="13"/>
        <v>0</v>
      </c>
      <c r="N23" s="448">
        <f t="shared" ca="1" si="14"/>
        <v>0</v>
      </c>
      <c r="O23" s="448">
        <f t="shared" si="15"/>
        <v>0</v>
      </c>
      <c r="P23" s="449">
        <f t="shared" si="16"/>
        <v>0</v>
      </c>
      <c r="Q23" s="447">
        <f t="shared" ref="Q23:Q32" ca="1" si="17">SUM(B23:P23)</f>
        <v>990.55161416771284</v>
      </c>
    </row>
    <row r="24" spans="1:17">
      <c r="A24" s="447" t="s">
        <v>187</v>
      </c>
      <c r="B24" s="448">
        <f t="shared" ca="1" si="2"/>
        <v>125.75548990597238</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125.75548990597238</v>
      </c>
    </row>
    <row r="25" spans="1:17">
      <c r="A25" s="447" t="s">
        <v>105</v>
      </c>
      <c r="B25" s="448">
        <f t="shared" ca="1" si="2"/>
        <v>684.24617646795662</v>
      </c>
      <c r="C25" s="448">
        <f t="shared" ca="1" si="3"/>
        <v>0</v>
      </c>
      <c r="D25" s="448">
        <f t="shared" si="4"/>
        <v>23.035322904000001</v>
      </c>
      <c r="E25" s="448">
        <f t="shared" si="5"/>
        <v>17.021680343835421</v>
      </c>
      <c r="F25" s="448">
        <f t="shared" si="6"/>
        <v>3407.4668718290777</v>
      </c>
      <c r="G25" s="448">
        <f t="shared" si="7"/>
        <v>0</v>
      </c>
      <c r="H25" s="448">
        <f t="shared" si="8"/>
        <v>0</v>
      </c>
      <c r="I25" s="448">
        <f t="shared" si="9"/>
        <v>0</v>
      </c>
      <c r="J25" s="448">
        <f t="shared" si="10"/>
        <v>146.62007290861783</v>
      </c>
      <c r="K25" s="448">
        <f t="shared" si="11"/>
        <v>0</v>
      </c>
      <c r="L25" s="448">
        <f t="shared" si="12"/>
        <v>0</v>
      </c>
      <c r="M25" s="448">
        <f t="shared" si="13"/>
        <v>0</v>
      </c>
      <c r="N25" s="448">
        <f t="shared" si="14"/>
        <v>0</v>
      </c>
      <c r="O25" s="448">
        <f t="shared" si="15"/>
        <v>0</v>
      </c>
      <c r="P25" s="449">
        <f t="shared" si="16"/>
        <v>0</v>
      </c>
      <c r="Q25" s="447">
        <f t="shared" ca="1" si="17"/>
        <v>4278.3901244534873</v>
      </c>
    </row>
    <row r="26" spans="1:17">
      <c r="A26" s="447" t="s">
        <v>614</v>
      </c>
      <c r="B26" s="448">
        <f t="shared" ca="1" si="2"/>
        <v>237.05352281347311</v>
      </c>
      <c r="C26" s="448">
        <f t="shared" ca="1" si="3"/>
        <v>0</v>
      </c>
      <c r="D26" s="448">
        <f t="shared" si="4"/>
        <v>45.917594448000003</v>
      </c>
      <c r="E26" s="448">
        <f t="shared" si="5"/>
        <v>36.61367575973069</v>
      </c>
      <c r="F26" s="448">
        <f t="shared" si="6"/>
        <v>336.25576546135801</v>
      </c>
      <c r="G26" s="448">
        <f t="shared" si="7"/>
        <v>0</v>
      </c>
      <c r="H26" s="448">
        <f t="shared" si="8"/>
        <v>0</v>
      </c>
      <c r="I26" s="448">
        <f t="shared" si="9"/>
        <v>0</v>
      </c>
      <c r="J26" s="448">
        <f t="shared" si="10"/>
        <v>9.7783803424637369E-2</v>
      </c>
      <c r="K26" s="448">
        <f t="shared" si="11"/>
        <v>0</v>
      </c>
      <c r="L26" s="448">
        <f t="shared" si="12"/>
        <v>0</v>
      </c>
      <c r="M26" s="448">
        <f t="shared" si="13"/>
        <v>0</v>
      </c>
      <c r="N26" s="448">
        <f t="shared" si="14"/>
        <v>0</v>
      </c>
      <c r="O26" s="448">
        <f t="shared" si="15"/>
        <v>0</v>
      </c>
      <c r="P26" s="449">
        <f t="shared" si="16"/>
        <v>0</v>
      </c>
      <c r="Q26" s="447">
        <f t="shared" ca="1" si="17"/>
        <v>655.93834228598644</v>
      </c>
    </row>
    <row r="27" spans="1:17" s="453" customFormat="1">
      <c r="A27" s="451" t="s">
        <v>555</v>
      </c>
      <c r="B27" s="725">
        <f t="shared" ca="1" si="2"/>
        <v>0.4906853630528713</v>
      </c>
      <c r="C27" s="452">
        <f t="shared" ca="1" si="3"/>
        <v>0</v>
      </c>
      <c r="D27" s="452">
        <f t="shared" si="4"/>
        <v>0.66286831459343787</v>
      </c>
      <c r="E27" s="452">
        <f t="shared" si="5"/>
        <v>25.60136008332891</v>
      </c>
      <c r="F27" s="452">
        <f t="shared" si="6"/>
        <v>0</v>
      </c>
      <c r="G27" s="452">
        <f t="shared" si="7"/>
        <v>7201.6609856305031</v>
      </c>
      <c r="H27" s="452">
        <f t="shared" si="8"/>
        <v>1452.8210767611674</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8681.2369761526461</v>
      </c>
    </row>
    <row r="28" spans="1:17">
      <c r="A28" s="447" t="s">
        <v>545</v>
      </c>
      <c r="B28" s="448">
        <f t="shared" ca="1" si="2"/>
        <v>0.58302898678179538</v>
      </c>
      <c r="C28" s="448">
        <f t="shared" ca="1" si="3"/>
        <v>0</v>
      </c>
      <c r="D28" s="448">
        <f t="shared" si="4"/>
        <v>0</v>
      </c>
      <c r="E28" s="448">
        <f t="shared" si="5"/>
        <v>0</v>
      </c>
      <c r="F28" s="448">
        <f t="shared" si="6"/>
        <v>0</v>
      </c>
      <c r="G28" s="448">
        <f t="shared" si="7"/>
        <v>159.91216844759279</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160.49519743437457</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67.874123553433066</v>
      </c>
      <c r="C32" s="448">
        <f t="shared" ca="1" si="3"/>
        <v>0</v>
      </c>
      <c r="D32" s="448">
        <f t="shared" si="4"/>
        <v>49.753004000000004</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117.62712755343307</v>
      </c>
    </row>
    <row r="33" spans="1:17" s="460" customFormat="1">
      <c r="A33" s="457" t="s">
        <v>549</v>
      </c>
      <c r="B33" s="458">
        <f ca="1">SUM(B22:B32)</f>
        <v>4573.4316009717859</v>
      </c>
      <c r="C33" s="458">
        <f t="shared" ref="C33:Q33" ca="1" si="18">SUM(C22:C32)</f>
        <v>0</v>
      </c>
      <c r="D33" s="458">
        <f t="shared" ca="1" si="18"/>
        <v>2032.8283712385937</v>
      </c>
      <c r="E33" s="458">
        <f t="shared" si="18"/>
        <v>435.07121274337021</v>
      </c>
      <c r="F33" s="458">
        <f t="shared" ca="1" si="18"/>
        <v>16512.817410423046</v>
      </c>
      <c r="G33" s="458">
        <f t="shared" si="18"/>
        <v>7361.5731540780962</v>
      </c>
      <c r="H33" s="458">
        <f t="shared" si="18"/>
        <v>1452.8210767611674</v>
      </c>
      <c r="I33" s="458">
        <f t="shared" si="18"/>
        <v>0</v>
      </c>
      <c r="J33" s="458">
        <f t="shared" si="18"/>
        <v>468.91046656274909</v>
      </c>
      <c r="K33" s="458">
        <f t="shared" si="18"/>
        <v>0</v>
      </c>
      <c r="L33" s="458">
        <f t="shared" ca="1" si="18"/>
        <v>0</v>
      </c>
      <c r="M33" s="458">
        <f t="shared" si="18"/>
        <v>0</v>
      </c>
      <c r="N33" s="458">
        <f t="shared" ca="1" si="18"/>
        <v>0</v>
      </c>
      <c r="O33" s="458">
        <f t="shared" si="18"/>
        <v>0</v>
      </c>
      <c r="P33" s="458">
        <f t="shared" si="18"/>
        <v>0</v>
      </c>
      <c r="Q33" s="458">
        <f t="shared" ca="1" si="18"/>
        <v>32837.45329277881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3442.5847715595464</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3442.5847715595464</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0.18947925975375909</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0.18947925975375909</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2022-07-26T11:59:43Z</dcterms:modified>
</cp:coreProperties>
</file>