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777B829-82A7-4D53-9381-F6B76CAC164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<sst xmlns="http://schemas.openxmlformats.org/spreadsheetml/2006/main" count="2441" uniqueCount="908">
  <si>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</si>
  <si>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</si>
  <si>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</si>
  <si>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</si>
  <si>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</si>
  <si>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</si>
  <si>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</si>
  <si>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</si>
  <si>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</si>
  <si>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</si>
  <si>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</si>
  <si>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</si>
  <si>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</si>
  <si>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</si>
  <si>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</si>
  <si>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</si>
  <si>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</si>
  <si>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</si>
  <si>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</si>
  <si>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</si>
  <si>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</si>
  <si>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</si>
  <si>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</si>
  <si>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</si>
  <si>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</si>
  <si>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</si>
  <si>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</si>
  <si>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</si>
  <si>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</si>
  <si>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</si>
  <si>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</si>
  <si>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</si>
  <si>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</si>
  <si>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</si>
  <si>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</si>
  <si>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</si>
  <si>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</si>
  <si>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</si>
  <si>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</si>
  <si>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</si>
  <si>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</si>
  <si>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</si>
  <si>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</si>
  <si>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</si>
  <si>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</si>
  <si>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</si>
  <si>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</si>
  <si>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</si>
  <si>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</si>
  <si>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</si>
  <si>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</si>
  <si>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</si>
  <si>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</si>
  <si>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</si>
  <si>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</si>
  <si>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</si>
  <si>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</si>
  <si>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</si>
  <si>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</si>
  <si>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</si>
  <si>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</si>
  <si>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</si>
  <si>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</si>
  <si>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</si>
  <si>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</si>
  <si>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</si>
  <si>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</si>
  <si>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</si>
  <si>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</si>
  <si>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</si>
  <si>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</si>
  <si>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</si>
  <si>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</si>
  <si>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</si>
  <si>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</si>
  <si>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</si>
  <si>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</si>
  <si>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</si>
  <si>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</si>
  <si>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</si>
  <si>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</si>
  <si>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</si>
  <si>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</si>
  <si>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</si>
  <si>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</si>
  <si>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</si>
  <si>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</si>
  <si>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</si>
  <si>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</si>
  <si>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</si>
  <si>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</si>
  <si>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</si>
  <si>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</si>
  <si>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</si>
  <si>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</si>
  <si>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</si>
  <si>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</si>
  <si>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</si>
  <si>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</si>
  <si>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</si>
  <si>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</si>
  <si>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</si>
  <si>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</si>
  <si>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</si>
  <si>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</si>
  <si>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</si>
  <si>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</si>
  <si>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</si>
  <si>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</si>
  <si>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</si>
  <si>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</si>
  <si>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</si>
  <si>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</si>
  <si>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</si>
  <si>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</si>
  <si>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</si>
  <si>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</si>
  <si>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</si>
  <si>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</si>
  <si>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</si>
  <si>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</si>
  <si>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</si>
  <si>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</si>
  <si>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</si>
  <si>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</si>
  <si>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</si>
  <si>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</si>
  <si>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</si>
  <si>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</si>
  <si>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</si>
  <si>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</si>
  <si>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</si>
  <si>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</si>
  <si>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</si>
  <si>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</si>
  <si>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</si>
  <si>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</si>
  <si>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</si>
  <si>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</si>
  <si>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</si>
  <si>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</si>
  <si>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</si>
  <si>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</si>
  <si>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</si>
  <si>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</si>
  <si>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</si>
  <si>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</si>
  <si>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</si>
  <si>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</si>
  <si>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</si>
  <si>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</si>
  <si>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</si>
  <si>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</si>
  <si>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</si>
  <si>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</si>
  <si>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</si>
  <si>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</si>
  <si>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</si>
  <si>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</si>
  <si>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</si>
  <si>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</si>
  <si>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</si>
  <si>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</si>
  <si>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</si>
  <si>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</si>
  <si>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</si>
  <si>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</si>
  <si>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</si>
  <si>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</si>
  <si>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</si>
  <si>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</si>
  <si>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</si>
  <si>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</si>
  <si>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</si>
  <si>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</si>
  <si>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</si>
  <si>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</si>
  <si>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</si>
  <si>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</si>
  <si>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</si>
  <si>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</si>
  <si>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</si>
  <si>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</si>
  <si>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</si>
  <si>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</si>
  <si>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</si>
  <si>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</si>
  <si>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</si>
  <si>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</si>
  <si>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</si>
  <si>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</si>
  <si>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</si>
  <si>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</si>
  <si>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</si>
  <si>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</si>
  <si>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</si>
  <si>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</si>
  <si>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</si>
  <si>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</si>
  <si>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</si>
  <si>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</si>
  <si>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</si>
  <si>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</si>
  <si>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</si>
  <si>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</si>
  <si>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</si>
  <si>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</si>
  <si>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</si>
  <si>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</si>
  <si>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</si>
  <si>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</si>
  <si>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</si>
  <si>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</si>
  <si>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</si>
  <si>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</si>
  <si>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</si>
  <si>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</si>
  <si>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</si>
  <si>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</si>
  <si>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</si>
  <si>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</si>
  <si>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</si>
  <si>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</si>
  <si>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</si>
  <si>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</si>
  <si>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</si>
  <si>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</si>
  <si>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</si>
  <si>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</si>
  <si>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</si>
  <si>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</si>
  <si>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</si>
  <si>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</si>
  <si>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</si>
  <si>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</si>
  <si>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</si>
  <si>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</si>
  <si>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</si>
  <si>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</si>
  <si>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</si>
  <si>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</si>
  <si>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</si>
  <si>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</si>
  <si>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</si>
  <si>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</si>
  <si>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</si>
  <si>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</si>
  <si>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</si>
  <si>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</si>
  <si>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</si>
  <si>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</si>
  <si>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</si>
  <si>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</si>
  <si>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</si>
  <si>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</si>
  <si>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</si>
  <si>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</si>
  <si>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</si>
  <si>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</si>
  <si>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</si>
  <si>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</si>
  <si>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</si>
  <si>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</si>
  <si>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</si>
  <si>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</si>
  <si>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</si>
  <si>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</si>
  <si>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</si>
  <si>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</si>
  <si>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</si>
  <si>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</si>
  <si>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</si>
  <si>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</si>
  <si>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</si>
  <si>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</si>
  <si>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</si>
  <si>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</si>
  <si>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</si>
  <si>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</si>
  <si>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</si>
  <si>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</si>
  <si>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</si>
  <si>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</si>
  <si>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</si>
  <si>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</si>
  <si>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</si>
  <si>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</si>
  <si>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</si>
  <si>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</si>
  <si>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</si>
  <si>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</si>
  <si>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</si>
  <si>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</si>
  <si>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</si>
  <si>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</si>
  <si>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</si>
  <si>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</si>
  <si>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</si>
  <si>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</si>
  <si>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</si>
  <si>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</si>
  <si>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</si>
  <si>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</si>
  <si>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</si>
  <si>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</si>
  <si>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</si>
  <si>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</si>
  <si>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</si>
  <si>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</si>
  <si>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</si>
  <si>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</si>
  <si>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</si>
  <si>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</si>
  <si>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</si>
  <si>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</si>
  <si>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</si>
  <si>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</si>
  <si>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</si>
  <si>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</si>
  <si>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</si>
  <si>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</si>
  <si>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</si>
  <si>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</si>
  <si>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</si>
  <si>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</si>
  <si>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</si>
  <si>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</si>
  <si>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</si>
  <si>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</si>
  <si>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</si>
  <si>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</si>
  <si>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</si>
  <si>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</si>
  <si>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</si>
  <si>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</si>
  <si>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</si>
  <si>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</si>
  <si>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</si>
  <si>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</si>
  <si>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</si>
  <si>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</si>
  <si>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</si>
  <si>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</si>
  <si>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</si>
  <si>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</si>
  <si>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</si>
  <si>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</si>
  <si>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</si>
  <si>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</si>
  <si>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</si>
  <si>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</si>
  <si>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</si>
  <si>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</si>
  <si>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</si>
  <si>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</si>
  <si>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</si>
  <si>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</si>
  <si>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</si>
  <si>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</si>
  <si>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</si>
  <si>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</si>
  <si>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</si>
  <si>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</si>
  <si>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</si>
  <si>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</si>
  <si>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</si>
  <si>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</si>
  <si>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</si>
  <si>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</si>
  <si>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</si>
  <si>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</si>
  <si>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</si>
  <si>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</si>
  <si>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</si>
  <si>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</si>
  <si>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</si>
  <si>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</si>
  <si>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</si>
  <si>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</si>
  <si>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</si>
  <si>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</si>
  <si>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</si>
  <si>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</si>
  <si>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</si>
  <si>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</si>
  <si>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</si>
  <si>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</si>
  <si>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</si>
  <si>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</si>
  <si>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</si>
  <si>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</si>
  <si>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</si>
  <si>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</si>
  <si>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</si>
  <si>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</si>
  <si>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</si>
  <si>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</si>
  <si>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</si>
  <si>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</si>
  <si>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</si>
  <si>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</si>
  <si>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</si>
  <si>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</si>
  <si>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</si>
  <si>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</si>
  <si>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</si>
  <si>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</si>
  <si>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</si>
  <si>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</si>
  <si>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</si>
  <si>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</si>
  <si>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</si>
  <si>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</si>
  <si>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</si>
  <si>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</si>
  <si>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</si>
  <si>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</si>
  <si>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</si>
  <si>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</si>
  <si>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</si>
  <si>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</si>
  <si>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</si>
  <si>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</si>
  <si>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</si>
  <si>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</si>
  <si>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</si>
  <si>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</si>
  <si>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</si>
  <si>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</si>
  <si>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</si>
  <si>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</si>
  <si>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</si>
  <si>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</si>
  <si>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</si>
  <si>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</si>
  <si>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</si>
  <si>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</si>
  <si>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</si>
  <si>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</si>
  <si>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</si>
  <si>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</si>
  <si>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</si>
  <si>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</si>
  <si>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</si>
  <si>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</si>
  <si>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</si>
  <si>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</si>
  <si>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</si>
  <si>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</si>
  <si>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</si>
  <si>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</si>
  <si>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</si>
  <si>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</si>
  <si>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</si>
  <si>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</si>
  <si>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</si>
  <si>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</si>
  <si>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</si>
  <si>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</si>
  <si>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</si>
  <si>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</si>
  <si>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</si>
  <si>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</si>
  <si>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</si>
  <si>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</si>
  <si>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</si>
  <si>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</si>
  <si>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</si>
  <si>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</si>
  <si>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</si>
  <si>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</si>
  <si>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</si>
  <si>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</si>
  <si>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</si>
  <si>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</si>
  <si>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</si>
  <si>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</si>
  <si>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</si>
  <si>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</si>
  <si>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</si>
  <si>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</si>
  <si>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</si>
  <si>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</si>
  <si>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</si>
  <si>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</si>
  <si>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</si>
  <si>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</si>
  <si>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</si>
  <si>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</si>
  <si>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</si>
  <si>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</si>
  <si>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</si>
  <si>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</si>
  <si>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</si>
  <si>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</si>
  <si>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</si>
  <si>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</si>
  <si>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</si>
  <si>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</si>
  <si>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</si>
  <si>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</si>
  <si>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</si>
  <si>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</si>
  <si>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</si>
  <si>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</si>
  <si>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</si>
  <si>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</si>
  <si>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</si>
  <si>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</si>
  <si>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</si>
  <si>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</si>
  <si>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</si>
  <si>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</si>
  <si>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</si>
  <si>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</si>
  <si>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</si>
  <si>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</si>
  <si>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</si>
  <si>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</si>
  <si>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</si>
  <si>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</si>
  <si>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</si>
  <si>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</si>
  <si>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</si>
  <si>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</si>
  <si>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</si>
  <si>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</si>
  <si>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</si>
  <si>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</si>
  <si>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</si>
  <si>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</si>
  <si>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</si>
  <si>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</si>
  <si>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</si>
  <si>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</si>
  <si>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</si>
  <si>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</si>
  <si>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</si>
  <si>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</si>
  <si>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</si>
  <si>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</si>
  <si>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</si>
  <si>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</si>
  <si>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</si>
  <si>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</si>
  <si>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</si>
  <si>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</si>
  <si>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</si>
  <si>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</si>
  <si>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</si>
  <si>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</si>
  <si>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</si>
  <si>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</si>
  <si>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</si>
  <si>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</si>
  <si>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</si>
  <si>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</si>
  <si>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</si>
  <si>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</si>
  <si>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</si>
  <si>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</si>
  <si>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</si>
  <si>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</si>
  <si>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</si>
  <si>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</si>
  <si>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</si>
  <si>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</si>
  <si>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</si>
  <si>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</si>
  <si>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</si>
  <si>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</si>
  <si>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</si>
  <si>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</si>
  <si>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</si>
  <si>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</si>
  <si>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</si>
  <si>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</si>
  <si>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</si>
  <si>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</si>
  <si>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</si>
  <si>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</si>
  <si>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</si>
  <si>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</si>
  <si>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</si>
  <si>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</si>
  <si>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</si>
  <si>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</si>
  <si>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</si>
  <si>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</si>
  <si>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</si>
  <si>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</si>
  <si>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</si>
  <si>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</si>
  <si>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</si>
  <si>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</si>
  <si>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</si>
  <si>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</si>
  <si>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</si>
  <si>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</si>
  <si>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</si>
  <si>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</si>
  <si>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</si>
  <si>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</si>
  <si>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</si>
  <si>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</si>
  <si>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</si>
  <si>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</si>
  <si>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</si>
  <si>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</si>
  <si>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</si>
  <si>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</si>
  <si>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</si>
  <si>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</si>
  <si>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</si>
  <si>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</si>
  <si>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</si>
  <si>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</si>
  <si>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</si>
  <si>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</si>
  <si>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</si>
  <si>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</si>
  <si>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</si>
  <si>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</si>
  <si>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</si>
  <si>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</si>
  <si>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</si>
  <si>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</si>
  <si>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</si>
  <si>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</si>
  <si>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</si>
  <si>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</si>
  <si>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</si>
  <si>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</si>
  <si>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</si>
  <si>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</si>
  <si>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</si>
  <si>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</si>
  <si>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</si>
  <si>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</si>
  <si>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</si>
  <si>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</si>
  <si>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</si>
  <si>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</si>
  <si>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</si>
  <si>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</si>
  <si>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</si>
  <si>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</si>
  <si>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</si>
  <si>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</si>
  <si>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</si>
  <si>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</si>
  <si>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</si>
  <si>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</si>
  <si>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</si>
  <si>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</si>
  <si>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</si>
  <si>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</si>
  <si>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</si>
  <si>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</si>
  <si>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</si>
  <si>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</si>
  <si>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</si>
  <si>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</si>
  <si>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</si>
  <si>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</si>
  <si>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</si>
  <si>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</si>
  <si>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</si>
  <si>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</si>
  <si>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</si>
  <si>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</si>
  <si>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</si>
  <si>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</si>
  <si>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</si>
  <si>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</si>
  <si>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</si>
  <si>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</si>
  <si>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</si>
  <si>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</si>
  <si>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</si>
  <si>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</si>
  <si>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</si>
  <si>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</si>
  <si>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</si>
  <si>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</si>
  <si>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</si>
  <si>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</si>
  <si>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</si>
  <si>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</si>
  <si>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</si>
  <si>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</si>
  <si>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</si>
  <si>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</si>
  <si>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</si>
  <si>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</si>
  <si>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</si>
  <si>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</si>
  <si>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</si>
  <si>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</si>
  <si>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</si>
  <si>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</si>
  <si>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</si>
  <si>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</si>
  <si>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</si>
  <si>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</si>
  <si>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</si>
  <si>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</si>
  <si>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</si>
  <si>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</si>
  <si>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</si>
  <si>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</si>
  <si>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</si>
  <si>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</si>
  <si>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</si>
  <si>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</si>
  <si>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</si>
  <si>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</si>
  <si>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</si>
  <si>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</si>
  <si>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</si>
  <si>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</si>
  <si>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</si>
  <si>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</si>
  <si>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</si>
  <si>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</si>
  <si>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</si>
  <si>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</si>
  <si>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</si>
  <si>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</si>
  <si>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</si>
  <si>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</si>
  <si>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</si>
  <si>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</si>
  <si>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</si>
  <si>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</si>
  <si>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</si>
  <si>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</si>
  <si>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</si>
  <si>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</si>
  <si>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</si>
  <si>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</si>
  <si>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</si>
  <si>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</si>
  <si>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</si>
  <si>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</si>
  <si>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</si>
  <si>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</si>
  <si>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</si>
  <si>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</si>
  <si>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</si>
  <si>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</si>
  <si>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</si>
  <si>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</si>
  <si>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</si>
  <si>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</si>
  <si>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</si>
  <si>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</si>
  <si>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</si>
  <si>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</si>
  <si>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</si>
  <si>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</si>
  <si>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</si>
  <si>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</si>
  <si>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</si>
  <si>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</si>
  <si>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</si>
  <si>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</si>
  <si>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</si>
  <si>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</si>
  <si>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</si>
  <si>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</si>
  <si>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</si>
  <si>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</si>
  <si>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</si>
  <si>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</si>
  <si>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</si>
  <si>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</si>
  <si>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</si>
  <si>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</si>
  <si>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</si>
  <si>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</si>
  <si>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</si>
  <si>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</si>
  <si>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</si>
  <si>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</si>
  <si>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</si>
  <si>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</si>
  <si>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</si>
  <si>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</si>
  <si>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</si>
  <si>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</si>
  <si>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</si>
  <si>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</si>
  <si>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</si>
  <si>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</si>
  <si>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</si>
  <si>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</si>
  <si>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</si>
  <si>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</si>
  <si>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</si>
  <si>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</si>
  <si>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</si>
  <si>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</si>
  <si>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</si>
  <si>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</si>
  <si>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</si>
  <si>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</si>
  <si>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</si>
  <si>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</si>
  <si>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</si>
  <si>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</si>
  <si>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</si>
  <si>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</si>
  <si>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</si>
  <si>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</si>
  <si>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</si>
  <si>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</si>
  <si>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</si>
  <si>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</si>
  <si>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</si>
  <si>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</si>
  <si>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</si>
  <si>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</si>
  <si>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</si>
  <si>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</si>
  <si>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</si>
  <si>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</si>
  <si>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</si>
  <si>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</si>
  <si>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</si>
  <si>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</si>
  <si>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</si>
  <si>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</si>
  <si>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</si>
  <si>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</si>
  <si>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</si>
  <si>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</si>
  <si>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</si>
  <si>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</si>
  <si>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</si>
  <si>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</si>
  <si>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</si>
  <si>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</si>
  <si>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</si>
  <si>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</si>
  <si>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</si>
  <si>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</si>
  <si>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</si>
  <si>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</si>
  <si>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</si>
  <si>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</si>
  <si>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</si>
  <si>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</si>
  <si>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</si>
  <si>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</si>
  <si>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</si>
  <si>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</si>
  <si>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</si>
  <si>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</si>
  <si>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</si>
  <si>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</si>
  <si>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</si>
  <si>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</si>
  <si>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</si>
  <si>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</si>
  <si>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</si>
  <si>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</si>
  <si>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</si>
  <si>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</si>
  <si>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</si>
  <si>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</si>
  <si>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</si>
  <si>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</si>
  <si>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</si>
  <si>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</si>
  <si>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</si>
  <si>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</si>
  <si>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</si>
  <si>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</si>
  <si>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</si>
  <si>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</si>
  <si>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</si>
  <si>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</si>
  <si>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</si>
  <si>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</si>
  <si>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</si>
  <si>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</si>
  <si>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</si>
  <si>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</si>
  <si>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</si>
  <si>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</si>
  <si>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</si>
  <si>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</si>
  <si>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</si>
  <si>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</si>
  <si>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</si>
  <si>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</si>
  <si>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</si>
  <si>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</si>
  <si>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</si>
  <si>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</si>
  <si>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</si>
  <si>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24008</t>
  </si>
  <si>
    <t>BEKKEVOORT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</si>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</sst>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D38974E-811D-4CD2-983E-4ED2A30D2CB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59963.737078003971</c:v>
                </c:pt>
                <c:pt idx="1">
                  <c:v>13063.97282816269</c:v>
                </c:pt>
                <c:pt idx="2">
                  <c:v>495.56099999999998</c:v>
                </c:pt>
                <c:pt idx="3">
                  <c:v>14050.878371345932</c:v>
                </c:pt>
                <c:pt idx="4">
                  <c:v>6865.9805145354694</c:v>
                </c:pt>
                <c:pt idx="5">
                  <c:v>186570.84236993504</c:v>
                </c:pt>
                <c:pt idx="6">
                  <c:v>1211.4482167443416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59963.737078003971</c:v>
                </c:pt>
                <c:pt idx="1">
                  <c:v>13063.97282816269</c:v>
                </c:pt>
                <c:pt idx="2">
                  <c:v>495.56099999999998</c:v>
                </c:pt>
                <c:pt idx="3">
                  <c:v>14050.878371345932</c:v>
                </c:pt>
                <c:pt idx="4">
                  <c:v>6865.9805145354694</c:v>
                </c:pt>
                <c:pt idx="5">
                  <c:v>186570.84236993504</c:v>
                </c:pt>
                <c:pt idx="6">
                  <c:v>1211.4482167443416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12511.409302228587</c:v>
                </c:pt>
                <c:pt idx="2">
                  <c:v>1848.9264643161391</c:v>
                </c:pt>
                <c:pt idx="3">
                  <c:v>58.338670671118358</c:v>
                </c:pt>
                <c:pt idx="4">
                  <c:v>3327.1015075638197</c:v>
                </c:pt>
                <c:pt idx="5">
                  <c:v>1256.5573140215236</c:v>
                </c:pt>
                <c:pt idx="6">
                  <c:v>47188.509284467102</c:v>
                </c:pt>
                <c:pt idx="7">
                  <c:v>308.75812563627562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12511.409302228587</c:v>
                </c:pt>
                <c:pt idx="2">
                  <c:v>1848.9264643161391</c:v>
                </c:pt>
                <c:pt idx="3">
                  <c:v>58.338670671118358</c:v>
                </c:pt>
                <c:pt idx="4">
                  <c:v>3327.1015075638197</c:v>
                </c:pt>
                <c:pt idx="5">
                  <c:v>1256.5573140215236</c:v>
                </c:pt>
                <c:pt idx="6">
                  <c:v>47188.509284467102</c:v>
                </c:pt>
                <c:pt idx="7">
                  <c:v>308.75812563627562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24008</v>
      </c>
      <c r="B6" s="385"/>
      <c r="C6" s="386"/>
    </row>
    <row r="7" spans="1:7" s="383" customFormat="1" ht="15.75" customHeight="1">
      <c r="A7" s="387" t="str">
        <f>txtMunicipality</f>
        <v>BEKKEVOORT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0.11772248153328926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0.11772248153328926</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2433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2398</v>
      </c>
      <c r="C14" s="327"/>
      <c r="D14" s="327"/>
      <c r="E14" s="327"/>
      <c r="F14" s="327"/>
    </row>
    <row r="15" spans="1:6">
      <c r="A15" s="1258" t="s">
        <v>177</v>
      </c>
      <c r="B15" s="1259">
        <v>8</v>
      </c>
      <c r="C15" s="327"/>
      <c r="D15" s="327"/>
      <c r="E15" s="327"/>
      <c r="F15" s="327"/>
    </row>
    <row r="16" spans="1:6">
      <c r="A16" s="1258" t="s">
        <v>6</v>
      </c>
      <c r="B16" s="1259">
        <v>297</v>
      </c>
      <c r="C16" s="327"/>
      <c r="D16" s="327"/>
      <c r="E16" s="327"/>
      <c r="F16" s="327"/>
    </row>
    <row r="17" spans="1:6">
      <c r="A17" s="1258" t="s">
        <v>7</v>
      </c>
      <c r="B17" s="1259">
        <v>204</v>
      </c>
      <c r="C17" s="327"/>
      <c r="D17" s="327"/>
      <c r="E17" s="327"/>
      <c r="F17" s="327"/>
    </row>
    <row r="18" spans="1:6">
      <c r="A18" s="1258" t="s">
        <v>8</v>
      </c>
      <c r="B18" s="1259">
        <v>362</v>
      </c>
      <c r="C18" s="327"/>
      <c r="D18" s="327"/>
      <c r="E18" s="327"/>
      <c r="F18" s="327"/>
    </row>
    <row r="19" spans="1:6">
      <c r="A19" s="1258" t="s">
        <v>9</v>
      </c>
      <c r="B19" s="1259">
        <v>383</v>
      </c>
      <c r="C19" s="327"/>
      <c r="D19" s="327"/>
      <c r="E19" s="327"/>
      <c r="F19" s="327"/>
    </row>
    <row r="20" spans="1:6">
      <c r="A20" s="1258" t="s">
        <v>10</v>
      </c>
      <c r="B20" s="1259">
        <v>376</v>
      </c>
      <c r="C20" s="327"/>
      <c r="D20" s="327"/>
      <c r="E20" s="327"/>
      <c r="F20" s="327"/>
    </row>
    <row r="21" spans="1:6">
      <c r="A21" s="1258" t="s">
        <v>11</v>
      </c>
      <c r="B21" s="1259">
        <v>7099</v>
      </c>
      <c r="C21" s="327"/>
      <c r="D21" s="327"/>
      <c r="E21" s="327"/>
      <c r="F21" s="327"/>
    </row>
    <row r="22" spans="1:6">
      <c r="A22" s="1258" t="s">
        <v>12</v>
      </c>
      <c r="B22" s="1259">
        <v>8799</v>
      </c>
      <c r="C22" s="327"/>
      <c r="D22" s="327"/>
      <c r="E22" s="327"/>
      <c r="F22" s="327"/>
    </row>
    <row r="23" spans="1:6">
      <c r="A23" s="1258" t="s">
        <v>13</v>
      </c>
      <c r="B23" s="1259">
        <v>348</v>
      </c>
      <c r="C23" s="327"/>
      <c r="D23" s="327"/>
      <c r="E23" s="327"/>
      <c r="F23" s="327"/>
    </row>
    <row r="24" spans="1:6">
      <c r="A24" s="1258" t="s">
        <v>14</v>
      </c>
      <c r="B24" s="1259">
        <v>8</v>
      </c>
      <c r="C24" s="327"/>
      <c r="D24" s="327"/>
      <c r="E24" s="327"/>
      <c r="F24" s="327"/>
    </row>
    <row r="25" spans="1:6">
      <c r="A25" s="1258" t="s">
        <v>15</v>
      </c>
      <c r="B25" s="1259">
        <v>1664</v>
      </c>
      <c r="C25" s="327"/>
      <c r="D25" s="327"/>
      <c r="E25" s="327"/>
      <c r="F25" s="327"/>
    </row>
    <row r="26" spans="1:6">
      <c r="A26" s="1258" t="s">
        <v>16</v>
      </c>
      <c r="B26" s="1259">
        <v>227</v>
      </c>
      <c r="C26" s="327"/>
      <c r="D26" s="327"/>
      <c r="E26" s="327"/>
      <c r="F26" s="327"/>
    </row>
    <row r="27" spans="1:6">
      <c r="A27" s="1258" t="s">
        <v>17</v>
      </c>
      <c r="B27" s="1259">
        <v>0</v>
      </c>
      <c r="C27" s="327"/>
      <c r="D27" s="327"/>
      <c r="E27" s="327"/>
      <c r="F27" s="327"/>
    </row>
    <row r="28" spans="1:6">
      <c r="A28" s="1258" t="s">
        <v>18</v>
      </c>
      <c r="B28" s="1260">
        <v>86468</v>
      </c>
      <c r="C28" s="327"/>
      <c r="D28" s="327"/>
      <c r="E28" s="327"/>
      <c r="F28" s="327"/>
    </row>
    <row r="29" spans="1:6">
      <c r="A29" s="1258" t="s">
        <v>905</v>
      </c>
      <c r="B29" s="1260">
        <v>108</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10256</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471</v>
      </c>
      <c r="D39" s="1259">
        <v>7864370</v>
      </c>
      <c r="E39" s="1259">
        <v>2320</v>
      </c>
      <c r="F39" s="1259">
        <v>9842523</v>
      </c>
    </row>
    <row r="40" spans="1:6">
      <c r="A40" s="1258" t="s">
        <v>29</v>
      </c>
      <c r="B40" s="1258" t="s">
        <v>28</v>
      </c>
      <c r="C40" s="1259">
        <v>0</v>
      </c>
      <c r="D40" s="1259">
        <v>0</v>
      </c>
      <c r="E40" s="1259">
        <v>0</v>
      </c>
      <c r="F40" s="1259">
        <v>0</v>
      </c>
    </row>
    <row r="41" spans="1:6">
      <c r="A41" s="1258" t="s">
        <v>31</v>
      </c>
      <c r="B41" s="1258" t="s">
        <v>32</v>
      </c>
      <c r="C41" s="1259">
        <v>9</v>
      </c>
      <c r="D41" s="1259">
        <v>484474</v>
      </c>
      <c r="E41" s="1259">
        <v>51</v>
      </c>
      <c r="F41" s="1259">
        <v>431680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12</v>
      </c>
      <c r="F44" s="1259">
        <v>81886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33854</v>
      </c>
      <c r="E48" s="1259">
        <v>2</v>
      </c>
      <c r="F48" s="1259">
        <v>321093</v>
      </c>
    </row>
    <row r="49" spans="1:6">
      <c r="A49" s="1258" t="s">
        <v>31</v>
      </c>
      <c r="B49" s="1258" t="s">
        <v>39</v>
      </c>
      <c r="C49" s="1259">
        <v>0</v>
      </c>
      <c r="D49" s="1259">
        <v>0</v>
      </c>
      <c r="E49" s="1259">
        <v>0</v>
      </c>
      <c r="F49" s="1259">
        <v>0</v>
      </c>
    </row>
    <row r="50" spans="1:6">
      <c r="A50" s="1258" t="s">
        <v>31</v>
      </c>
      <c r="B50" s="1258" t="s">
        <v>40</v>
      </c>
      <c r="C50" s="1259">
        <v>0</v>
      </c>
      <c r="D50" s="1259">
        <v>0</v>
      </c>
      <c r="E50" s="1259">
        <v>7</v>
      </c>
      <c r="F50" s="1259">
        <v>1740215</v>
      </c>
    </row>
    <row r="51" spans="1:6">
      <c r="A51" s="1258" t="s">
        <v>41</v>
      </c>
      <c r="B51" s="1258" t="s">
        <v>42</v>
      </c>
      <c r="C51" s="1259">
        <v>3</v>
      </c>
      <c r="D51" s="1259">
        <v>89367</v>
      </c>
      <c r="E51" s="1259">
        <v>106</v>
      </c>
      <c r="F51" s="1259">
        <v>2991823</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0</v>
      </c>
      <c r="F54" s="1259">
        <v>0</v>
      </c>
    </row>
    <row r="55" spans="1:6">
      <c r="A55" s="1258" t="s">
        <v>45</v>
      </c>
      <c r="B55" s="1258" t="s">
        <v>28</v>
      </c>
      <c r="C55" s="1259">
        <v>0</v>
      </c>
      <c r="D55" s="1259">
        <v>0</v>
      </c>
      <c r="E55" s="1259">
        <v>2</v>
      </c>
      <c r="F55" s="1259">
        <v>495561</v>
      </c>
    </row>
    <row r="56" spans="1:6">
      <c r="A56" s="1258" t="s">
        <v>47</v>
      </c>
      <c r="B56" s="1258" t="s">
        <v>28</v>
      </c>
      <c r="C56" s="1259">
        <v>12</v>
      </c>
      <c r="D56" s="1259">
        <v>576652</v>
      </c>
      <c r="E56" s="1259">
        <v>37</v>
      </c>
      <c r="F56" s="1259">
        <v>221066</v>
      </c>
    </row>
    <row r="57" spans="1:6">
      <c r="A57" s="1258" t="s">
        <v>48</v>
      </c>
      <c r="B57" s="1258" t="s">
        <v>49</v>
      </c>
      <c r="C57" s="1259">
        <v>0</v>
      </c>
      <c r="D57" s="1259">
        <v>0</v>
      </c>
      <c r="E57" s="1259">
        <v>27</v>
      </c>
      <c r="F57" s="1259">
        <v>276797</v>
      </c>
    </row>
    <row r="58" spans="1:6">
      <c r="A58" s="1258" t="s">
        <v>48</v>
      </c>
      <c r="B58" s="1258" t="s">
        <v>50</v>
      </c>
      <c r="C58" s="1259">
        <v>3</v>
      </c>
      <c r="D58" s="1259">
        <v>590459</v>
      </c>
      <c r="E58" s="1259">
        <v>9</v>
      </c>
      <c r="F58" s="1259">
        <v>249428</v>
      </c>
    </row>
    <row r="59" spans="1:6">
      <c r="A59" s="1258" t="s">
        <v>48</v>
      </c>
      <c r="B59" s="1258" t="s">
        <v>51</v>
      </c>
      <c r="C59" s="1259">
        <v>3</v>
      </c>
      <c r="D59" s="1259">
        <v>102775</v>
      </c>
      <c r="E59" s="1259">
        <v>67</v>
      </c>
      <c r="F59" s="1259">
        <v>1636715</v>
      </c>
    </row>
    <row r="60" spans="1:6">
      <c r="A60" s="1258" t="s">
        <v>48</v>
      </c>
      <c r="B60" s="1258" t="s">
        <v>52</v>
      </c>
      <c r="C60" s="1259">
        <v>6</v>
      </c>
      <c r="D60" s="1259">
        <v>236839</v>
      </c>
      <c r="E60" s="1259">
        <v>22</v>
      </c>
      <c r="F60" s="1259">
        <v>621707</v>
      </c>
    </row>
    <row r="61" spans="1:6">
      <c r="A61" s="1258" t="s">
        <v>48</v>
      </c>
      <c r="B61" s="1258" t="s">
        <v>53</v>
      </c>
      <c r="C61" s="1259">
        <v>17</v>
      </c>
      <c r="D61" s="1259">
        <v>819678</v>
      </c>
      <c r="E61" s="1259">
        <v>91</v>
      </c>
      <c r="F61" s="1259">
        <v>7022320</v>
      </c>
    </row>
    <row r="62" spans="1:6">
      <c r="A62" s="1258" t="s">
        <v>48</v>
      </c>
      <c r="B62" s="1258" t="s">
        <v>54</v>
      </c>
      <c r="C62" s="1259">
        <v>0</v>
      </c>
      <c r="D62" s="1259">
        <v>0</v>
      </c>
      <c r="E62" s="1259">
        <v>5</v>
      </c>
      <c r="F62" s="1259">
        <v>39583</v>
      </c>
    </row>
    <row r="63" spans="1:6">
      <c r="A63" s="1258" t="s">
        <v>48</v>
      </c>
      <c r="B63" s="1258" t="s">
        <v>28</v>
      </c>
      <c r="C63" s="1259">
        <v>1</v>
      </c>
      <c r="D63" s="1259">
        <v>30335</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21659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48020673</v>
      </c>
      <c r="E73" s="446"/>
      <c r="F73" s="327"/>
    </row>
    <row r="74" spans="1:6">
      <c r="A74" s="1258" t="s">
        <v>63</v>
      </c>
      <c r="B74" s="1258" t="s">
        <v>681</v>
      </c>
      <c r="C74" s="1271" t="s">
        <v>682</v>
      </c>
      <c r="D74" s="1259">
        <v>5577647.7496053064</v>
      </c>
      <c r="E74" s="446"/>
      <c r="F74" s="327"/>
    </row>
    <row r="75" spans="1:6">
      <c r="A75" s="1258" t="s">
        <v>64</v>
      </c>
      <c r="B75" s="1258" t="s">
        <v>679</v>
      </c>
      <c r="C75" s="1271" t="s">
        <v>683</v>
      </c>
      <c r="D75" s="1259">
        <v>21627627</v>
      </c>
      <c r="E75" s="446"/>
      <c r="F75" s="327"/>
    </row>
    <row r="76" spans="1:6">
      <c r="A76" s="1258" t="s">
        <v>64</v>
      </c>
      <c r="B76" s="1258" t="s">
        <v>681</v>
      </c>
      <c r="C76" s="1271" t="s">
        <v>684</v>
      </c>
      <c r="D76" s="1259">
        <v>803578.74960530666</v>
      </c>
      <c r="E76" s="446"/>
      <c r="F76" s="327"/>
    </row>
    <row r="77" spans="1:6">
      <c r="A77" s="1258" t="s">
        <v>65</v>
      </c>
      <c r="B77" s="1258" t="s">
        <v>679</v>
      </c>
      <c r="C77" s="1271" t="s">
        <v>685</v>
      </c>
      <c r="D77" s="1259">
        <v>123325725</v>
      </c>
      <c r="E77" s="446"/>
      <c r="F77" s="327"/>
    </row>
    <row r="78" spans="1:6">
      <c r="A78" s="1253" t="s">
        <v>65</v>
      </c>
      <c r="B78" s="1253" t="s">
        <v>681</v>
      </c>
      <c r="C78" s="1253" t="s">
        <v>686</v>
      </c>
      <c r="D78" s="1261">
        <v>13753619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320634.50078938669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8464.710943</v>
      </c>
      <c r="C90" s="327"/>
      <c r="D90" s="327"/>
      <c r="E90" s="327"/>
      <c r="F90" s="327"/>
    </row>
    <row r="91" spans="1:6">
      <c r="A91" s="1258" t="s">
        <v>67</v>
      </c>
      <c r="B91" s="1259">
        <v>1878.3413835209506</v>
      </c>
      <c r="C91" s="327"/>
      <c r="D91" s="327"/>
      <c r="E91" s="327"/>
      <c r="F91" s="327"/>
    </row>
    <row r="92" spans="1:6">
      <c r="A92" s="1253" t="s">
        <v>68</v>
      </c>
      <c r="B92" s="1254">
        <v>2681.920039268598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92</v>
      </c>
      <c r="C97" s="327"/>
      <c r="D97" s="327"/>
      <c r="E97" s="327"/>
      <c r="F97" s="327"/>
    </row>
    <row r="98" spans="1:6">
      <c r="A98" s="1258" t="s">
        <v>71</v>
      </c>
      <c r="B98" s="1259">
        <v>0</v>
      </c>
      <c r="C98" s="327"/>
      <c r="D98" s="327"/>
      <c r="E98" s="327"/>
      <c r="F98" s="327"/>
    </row>
    <row r="99" spans="1:6">
      <c r="A99" s="1258" t="s">
        <v>72</v>
      </c>
      <c r="B99" s="1259">
        <v>59</v>
      </c>
      <c r="C99" s="327"/>
      <c r="D99" s="327"/>
      <c r="E99" s="327"/>
      <c r="F99" s="327"/>
    </row>
    <row r="100" spans="1:6">
      <c r="A100" s="1258" t="s">
        <v>73</v>
      </c>
      <c r="B100" s="1259">
        <v>74</v>
      </c>
      <c r="C100" s="327"/>
      <c r="D100" s="327"/>
      <c r="E100" s="327"/>
      <c r="F100" s="327"/>
    </row>
    <row r="101" spans="1:6">
      <c r="A101" s="1258" t="s">
        <v>74</v>
      </c>
      <c r="B101" s="1259">
        <v>37</v>
      </c>
      <c r="C101" s="327"/>
      <c r="D101" s="327"/>
      <c r="E101" s="327"/>
      <c r="F101" s="327"/>
    </row>
    <row r="102" spans="1:6">
      <c r="A102" s="1258" t="s">
        <v>75</v>
      </c>
      <c r="B102" s="1259">
        <v>32</v>
      </c>
      <c r="C102" s="327"/>
      <c r="D102" s="327"/>
      <c r="E102" s="327"/>
      <c r="F102" s="327"/>
    </row>
    <row r="103" spans="1:6">
      <c r="A103" s="1258" t="s">
        <v>76</v>
      </c>
      <c r="B103" s="1259">
        <v>118</v>
      </c>
      <c r="C103" s="327"/>
      <c r="D103" s="327"/>
      <c r="E103" s="327"/>
      <c r="F103" s="327"/>
    </row>
    <row r="104" spans="1:6">
      <c r="A104" s="1258" t="s">
        <v>77</v>
      </c>
      <c r="B104" s="1259">
        <v>1754</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7</v>
      </c>
      <c r="D123" s="327"/>
      <c r="E123" s="327"/>
      <c r="F123" s="327"/>
    </row>
    <row r="124" spans="1:6">
      <c r="A124" s="1258" t="s">
        <v>88</v>
      </c>
      <c r="B124" s="1259">
        <v>2</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27871.689168899989</v>
      </c>
      <c r="C3" s="43" t="s">
        <v>163</v>
      </c>
      <c r="D3" s="43"/>
      <c r="E3" s="156"/>
      <c r="F3" s="43"/>
      <c r="G3" s="43"/>
      <c r="H3" s="43"/>
      <c r="I3" s="43"/>
      <c r="J3" s="43"/>
      <c r="K3" s="96"/>
    </row>
    <row r="4" spans="1:11">
      <c r="A4" s="353" t="s">
        <v>164</v>
      </c>
      <c r="B4" s="49">
        <f>IF(ISERROR('SEAP template'!B78+'SEAP template'!C78),0,'SEAP template'!B78+'SEAP template'!C78)</f>
        <v>13024.972365789548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0.11772248153328926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495.56099999999998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495.56099999999998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0.11772248153328926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58.338670671118358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9842.5229999999992</v>
      </c>
      <c r="C5" s="17">
        <f>IF(ISERROR('Eigen informatie GS &amp; warmtenet'!B57),0,'Eigen informatie GS &amp; warmtenet'!B57)</f>
        <v>0</v>
      </c>
      <c r="D5" s="30">
        <f>(SUM(HH_hh_gas_kWh,HH_rest_gas_kWh)/1000)*0.902</f>
        <v>7093.6617400000005</v>
      </c>
      <c r="E5" s="17">
        <f>B32*B41</f>
        <v>1125.8173680851417</v>
      </c>
      <c r="F5" s="17">
        <f>B36*B45</f>
        <v>34501.205482551828</v>
      </c>
      <c r="G5" s="18"/>
      <c r="H5" s="17"/>
      <c r="I5" s="17"/>
      <c r="J5" s="17">
        <f>B35*B44+C35*C44</f>
        <v>653.38413392285111</v>
      </c>
      <c r="K5" s="17"/>
      <c r="L5" s="17"/>
      <c r="M5" s="17"/>
      <c r="N5" s="17">
        <f>B34*B43+C34*C43</f>
        <v>4292.0839699231919</v>
      </c>
      <c r="O5" s="17">
        <f>B52*B53*B54</f>
        <v>100.05333333333334</v>
      </c>
      <c r="P5" s="17">
        <f>B60*B61*B62/1000-B60*B61*B62/1000/B63</f>
        <v>476.66666666666663</v>
      </c>
    </row>
    <row r="6" spans="1:16">
      <c r="A6" s="16" t="s">
        <v>592</v>
      </c>
      <c r="B6" s="733">
        <f>kWh_PV_kleiner_dan_10kW</f>
        <v>1878.3413835209506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11720.86438352095</v>
      </c>
      <c r="C8" s="21">
        <f>C5</f>
        <v>0</v>
      </c>
      <c r="D8" s="21">
        <f>D5</f>
        <v>7093.6617400000005</v>
      </c>
      <c r="E8" s="21">
        <f>E5</f>
        <v>1125.8173680851417</v>
      </c>
      <c r="F8" s="21">
        <f>F5</f>
        <v>34501.205482551828</v>
      </c>
      <c r="G8" s="21"/>
      <c r="H8" s="21"/>
      <c r="I8" s="21"/>
      <c r="J8" s="21">
        <f>J5</f>
        <v>653.38413392285111</v>
      </c>
      <c r="K8" s="21"/>
      <c r="L8" s="21">
        <f>L5</f>
        <v>0</v>
      </c>
      <c r="M8" s="21">
        <f>M5</f>
        <v>0</v>
      </c>
      <c r="N8" s="21">
        <f>N5</f>
        <v>4292.0839699231919</v>
      </c>
      <c r="O8" s="21">
        <f>O5</f>
        <v>100.05333333333334</v>
      </c>
      <c r="P8" s="21">
        <f>P5</f>
        <v>476.66666666666663</v>
      </c>
    </row>
    <row r="9" spans="1:16">
      <c r="B9" s="19"/>
      <c r="C9" s="19"/>
      <c r="D9" s="257"/>
      <c r="E9" s="19"/>
      <c r="F9" s="19"/>
      <c r="G9" s="19"/>
      <c r="H9" s="19"/>
      <c r="I9" s="19"/>
      <c r="J9" s="19"/>
      <c r="K9" s="19"/>
      <c r="L9" s="19"/>
      <c r="M9" s="19"/>
      <c r="N9" s="19"/>
      <c r="O9" s="19"/>
      <c r="P9" s="19"/>
    </row>
    <row r="10" spans="1:16">
      <c r="A10" s="24" t="s">
        <v>207</v>
      </c>
      <c r="B10" s="25">
        <f ca="1">'EF ele_warmte'!B12</f>
        <v>0.11772248153328926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1379.8092409432329</v>
      </c>
      <c r="C12" s="23">
        <f ca="1">C10*C8</f>
        <v>0</v>
      </c>
      <c r="D12" s="23">
        <f>D8*D10</f>
        <v>1432.9196714800003</v>
      </c>
      <c r="E12" s="23">
        <f>E10*E8</f>
        <v>255.56054255532717</v>
      </c>
      <c r="F12" s="23">
        <f>F10*F8</f>
        <v>9211.8218638413382</v>
      </c>
      <c r="G12" s="23"/>
      <c r="H12" s="23"/>
      <c r="I12" s="23"/>
      <c r="J12" s="23">
        <f>J10*J8</f>
        <v>231.29798340868928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2433</v>
      </c>
      <c r="C26" s="36"/>
      <c r="D26" s="227"/>
    </row>
    <row r="27" spans="1:5" s="15" customFormat="1">
      <c r="A27" s="229" t="s">
        <v>697</v>
      </c>
      <c r="B27" s="37">
        <f>SUM(HH_hh_gas_aantal,HH_rest_gas_aantal)</f>
        <v>471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447.45</v>
      </c>
      <c r="C31" s="34" t="s">
        <v>104</v>
      </c>
      <c r="D31" s="173"/>
    </row>
    <row r="32" spans="1:5">
      <c r="A32" s="170" t="s">
        <v>72</v>
      </c>
      <c r="B32" s="33">
        <f>IF((B21*($B$26-($B$27-0.05*$B$27)-$B$60))&lt;0,0,B21*($B$26-($B$27-0.05*$B$27)-$B$60))</f>
        <v>49.09523449008087</v>
      </c>
      <c r="C32" s="34" t="s">
        <v>104</v>
      </c>
      <c r="D32" s="173"/>
    </row>
    <row r="33" spans="1:6">
      <c r="A33" s="170" t="s">
        <v>73</v>
      </c>
      <c r="B33" s="33">
        <f>IF((B22*($B$26-($B$27-0.05*$B$27)-$B$60))&lt;0,0,B22*($B$26-($B$27-0.05*$B$27)-$B$60))</f>
        <v>330.46850894881908</v>
      </c>
      <c r="C33" s="34" t="s">
        <v>104</v>
      </c>
      <c r="D33" s="173"/>
    </row>
    <row r="34" spans="1:6">
      <c r="A34" s="170" t="s">
        <v>74</v>
      </c>
      <c r="B34" s="33">
        <f>IF((B24*($B$26-($B$27-0.05*$B$27)-$B$60))&lt;0,0,B24*($B$26-($B$27-0.05*$B$27)-$B$60))</f>
        <v>83.844340061612769</v>
      </c>
      <c r="C34" s="33">
        <f>B26*C24</f>
        <v>497.69464454081901</v>
      </c>
      <c r="D34" s="232"/>
    </row>
    <row r="35" spans="1:6">
      <c r="A35" s="170" t="s">
        <v>76</v>
      </c>
      <c r="B35" s="33">
        <f>IF((B19*($B$26-($B$27-0.05*$B$27)-$B$60))&lt;0,0,B19*($B$26-($B$27-0.05*$B$27)-$B$60))</f>
        <v>31.159310861040009</v>
      </c>
      <c r="C35" s="33">
        <f>B35/2</f>
        <v>15.579655430520004</v>
      </c>
      <c r="D35" s="232"/>
    </row>
    <row r="36" spans="1:6">
      <c r="A36" s="170" t="s">
        <v>77</v>
      </c>
      <c r="B36" s="33">
        <f>IF((B18*($B$26-($B$27-0.05*$B$27)-$B$60))&lt;0,0,B18*($B$26-($B$27-0.05*$B$27)-$B$60))</f>
        <v>1465.9826056384472</v>
      </c>
      <c r="C36" s="34" t="s">
        <v>104</v>
      </c>
      <c r="D36" s="173"/>
    </row>
    <row r="37" spans="1:6">
      <c r="A37" s="170" t="s">
        <v>78</v>
      </c>
      <c r="B37" s="33">
        <f>B60</f>
        <v>25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9846.5500000000011</v>
      </c>
      <c r="C5" s="17">
        <f>IF(ISERROR('Eigen informatie GS &amp; warmtenet'!B58),0,'Eigen informatie GS &amp; warmtenet'!B58)</f>
        <v>0</v>
      </c>
      <c r="D5" s="30">
        <f>SUM(D6:D12)</f>
        <v>1605.6375720000001</v>
      </c>
      <c r="E5" s="17">
        <f>SUM(E6:E12)</f>
        <v>74.893217882118066</v>
      </c>
      <c r="F5" s="17">
        <f>SUM(F6:F12)</f>
        <v>1291.2507762200842</v>
      </c>
      <c r="G5" s="18"/>
      <c r="H5" s="17"/>
      <c r="I5" s="17"/>
      <c r="J5" s="17">
        <f>SUM(J6:J12)</f>
        <v>10.346487346119108</v>
      </c>
      <c r="K5" s="17"/>
      <c r="L5" s="17"/>
      <c r="M5" s="17"/>
      <c r="N5" s="17">
        <f>SUM(N6:N12)</f>
        <v>233.73144138103524</v>
      </c>
      <c r="O5" s="17">
        <f>B38*B39*B40</f>
        <v>1.5633333333333335</v>
      </c>
      <c r="P5" s="17">
        <f>B46*B47*B48/1000-B46*B47*B48/1000/B49</f>
        <v>0</v>
      </c>
      <c r="R5" s="32"/>
    </row>
    <row r="6" spans="1:18">
      <c r="A6" s="32" t="s">
        <v>53</v>
      </c>
      <c r="B6" s="37">
        <f>B26</f>
        <v>7022.32</v>
      </c>
      <c r="C6" s="33"/>
      <c r="D6" s="37">
        <f>IF(ISERROR(TER_kantoor_gas_kWh/1000),0,TER_kantoor_gas_kWh/1000)*0.902</f>
        <v>739.34955600000001</v>
      </c>
      <c r="E6" s="33">
        <f>$C$26*'E Balans VL '!I12/100/3.6*1000000</f>
        <v>59.274505603372319</v>
      </c>
      <c r="F6" s="33">
        <f>$C$26*('E Balans VL '!L12+'E Balans VL '!N12)/100/3.6*1000000</f>
        <v>941.61536027125953</v>
      </c>
      <c r="G6" s="34"/>
      <c r="H6" s="33"/>
      <c r="I6" s="33"/>
      <c r="J6" s="33">
        <f>$C$26*('E Balans VL '!D12+'E Balans VL '!E12)/100/3.6*1000000</f>
        <v>0</v>
      </c>
      <c r="K6" s="33"/>
      <c r="L6" s="33"/>
      <c r="M6" s="33"/>
      <c r="N6" s="33">
        <f>$C$26*'E Balans VL '!Y12/100/3.6*1000000</f>
        <v>61.759132534461543</v>
      </c>
      <c r="O6" s="33"/>
      <c r="P6" s="33"/>
      <c r="R6" s="32"/>
    </row>
    <row r="7" spans="1:18">
      <c r="A7" s="32" t="s">
        <v>52</v>
      </c>
      <c r="B7" s="37">
        <f t="shared" ref="B7:B12" si="0">B27</f>
        <v>621.70699999999999</v>
      </c>
      <c r="C7" s="33"/>
      <c r="D7" s="37">
        <f>IF(ISERROR(TER_horeca_gas_kWh/1000),0,TER_horeca_gas_kWh/1000)*0.902</f>
        <v>213.62877800000001</v>
      </c>
      <c r="E7" s="33">
        <f>$C$27*'E Balans VL '!I9/100/3.6*1000000</f>
        <v>8.174205857948099</v>
      </c>
      <c r="F7" s="33">
        <f>$C$27*('E Balans VL '!L9+'E Balans VL '!N9)/100/3.6*1000000</f>
        <v>156.13384704054727</v>
      </c>
      <c r="G7" s="34"/>
      <c r="H7" s="33"/>
      <c r="I7" s="33"/>
      <c r="J7" s="33">
        <f>$C$27*('E Balans VL '!D9+'E Balans VL '!E9)/100/3.6*1000000</f>
        <v>0</v>
      </c>
      <c r="K7" s="33"/>
      <c r="L7" s="33"/>
      <c r="M7" s="33"/>
      <c r="N7" s="33">
        <f>$C$27*'E Balans VL '!Y9/100/3.6*1000000</f>
        <v>0.1692520993733001</v>
      </c>
      <c r="O7" s="33"/>
      <c r="P7" s="33"/>
      <c r="R7" s="32"/>
    </row>
    <row r="8" spans="1:18">
      <c r="A8" s="6" t="s">
        <v>51</v>
      </c>
      <c r="B8" s="37">
        <f t="shared" si="0"/>
        <v>1636.7149999999999</v>
      </c>
      <c r="C8" s="33"/>
      <c r="D8" s="37">
        <f>IF(ISERROR(TER_handel_gas_kWh/1000),0,TER_handel_gas_kWh/1000)*0.902</f>
        <v>92.703050000000005</v>
      </c>
      <c r="E8" s="33">
        <f>$C$28*'E Balans VL '!I13/100/3.6*1000000</f>
        <v>7.1677770817831066</v>
      </c>
      <c r="F8" s="33">
        <f>$C$28*('E Balans VL '!L13+'E Balans VL '!N13)/100/3.6*1000000</f>
        <v>110.01117962121205</v>
      </c>
      <c r="G8" s="34"/>
      <c r="H8" s="33"/>
      <c r="I8" s="33"/>
      <c r="J8" s="33">
        <f>$C$28*('E Balans VL '!D13+'E Balans VL '!E13)/100/3.6*1000000</f>
        <v>0</v>
      </c>
      <c r="K8" s="33"/>
      <c r="L8" s="33"/>
      <c r="M8" s="33"/>
      <c r="N8" s="33">
        <f>$C$28*'E Balans VL '!Y13/100/3.6*1000000</f>
        <v>4.8352739279046206</v>
      </c>
      <c r="O8" s="33"/>
      <c r="P8" s="33"/>
      <c r="R8" s="32"/>
    </row>
    <row r="9" spans="1:18">
      <c r="A9" s="32" t="s">
        <v>50</v>
      </c>
      <c r="B9" s="37">
        <f t="shared" si="0"/>
        <v>249.428</v>
      </c>
      <c r="C9" s="33"/>
      <c r="D9" s="37">
        <f>IF(ISERROR(TER_gezond_gas_kWh/1000),0,TER_gezond_gas_kWh/1000)*0.902</f>
        <v>532.59401800000001</v>
      </c>
      <c r="E9" s="33">
        <f>$C$29*'E Balans VL '!I10/100/3.6*1000000</f>
        <v>8.5779390433295466E-2</v>
      </c>
      <c r="F9" s="33">
        <f>$C$29*('E Balans VL '!L10+'E Balans VL '!N10)/100/3.6*1000000</f>
        <v>21.80098964783657</v>
      </c>
      <c r="G9" s="34"/>
      <c r="H9" s="33"/>
      <c r="I9" s="33"/>
      <c r="J9" s="33">
        <f>$C$29*('E Balans VL '!D10+'E Balans VL '!E10)/100/3.6*1000000</f>
        <v>10.346487346119108</v>
      </c>
      <c r="K9" s="33"/>
      <c r="L9" s="33"/>
      <c r="M9" s="33"/>
      <c r="N9" s="33">
        <f>$C$29*'E Balans VL '!Y10/100/3.6*1000000</f>
        <v>2.6151604070116634</v>
      </c>
      <c r="O9" s="33"/>
      <c r="P9" s="33"/>
      <c r="R9" s="32"/>
    </row>
    <row r="10" spans="1:18">
      <c r="A10" s="32" t="s">
        <v>49</v>
      </c>
      <c r="B10" s="37">
        <f t="shared" si="0"/>
        <v>276.79700000000003</v>
      </c>
      <c r="C10" s="33"/>
      <c r="D10" s="37">
        <f>IF(ISERROR(TER_ander_gas_kWh/1000),0,TER_ander_gas_kWh/1000)*0.902</f>
        <v>0</v>
      </c>
      <c r="E10" s="33">
        <f>$C$30*'E Balans VL '!I14/100/3.6*1000000</f>
        <v>0.1646212756331536</v>
      </c>
      <c r="F10" s="33">
        <f>$C$30*('E Balans VL '!L14+'E Balans VL '!N14)/100/3.6*1000000</f>
        <v>49.007777706594865</v>
      </c>
      <c r="G10" s="34"/>
      <c r="H10" s="33"/>
      <c r="I10" s="33"/>
      <c r="J10" s="33">
        <f>$C$30*('E Balans VL '!D14+'E Balans VL '!E14)/100/3.6*1000000</f>
        <v>0</v>
      </c>
      <c r="K10" s="33"/>
      <c r="L10" s="33"/>
      <c r="M10" s="33"/>
      <c r="N10" s="33">
        <f>$C$30*'E Balans VL '!Y14/100/3.6*1000000</f>
        <v>164.35262241228412</v>
      </c>
      <c r="O10" s="33"/>
      <c r="P10" s="33"/>
      <c r="R10" s="32"/>
    </row>
    <row r="11" spans="1:18">
      <c r="A11" s="32" t="s">
        <v>54</v>
      </c>
      <c r="B11" s="37">
        <f t="shared" si="0"/>
        <v>39.582999999999998</v>
      </c>
      <c r="C11" s="33"/>
      <c r="D11" s="37">
        <f>IF(ISERROR(TER_onderwijs_gas_kWh/1000),0,TER_onderwijs_gas_kWh/1000)*0.902</f>
        <v>0</v>
      </c>
      <c r="E11" s="33">
        <f>$C$31*'E Balans VL '!I11/100/3.6*1000000</f>
        <v>2.632867294809095E-2</v>
      </c>
      <c r="F11" s="33">
        <f>$C$31*('E Balans VL '!L11+'E Balans VL '!N11)/100/3.6*1000000</f>
        <v>12.681621932633695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27.362170000000003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9846.5500000000011</v>
      </c>
      <c r="C16" s="21">
        <f t="shared" ca="1" si="1"/>
        <v>0</v>
      </c>
      <c r="D16" s="21">
        <f t="shared" ca="1" si="1"/>
        <v>1605.6375720000001</v>
      </c>
      <c r="E16" s="21">
        <f t="shared" si="1"/>
        <v>74.893217882118066</v>
      </c>
      <c r="F16" s="21">
        <f t="shared" ca="1" si="1"/>
        <v>1291.2507762200842</v>
      </c>
      <c r="G16" s="21">
        <f t="shared" si="1"/>
        <v>0</v>
      </c>
      <c r="H16" s="21">
        <f t="shared" si="1"/>
        <v>0</v>
      </c>
      <c r="I16" s="21">
        <f t="shared" si="1"/>
        <v>0</v>
      </c>
      <c r="J16" s="21">
        <f t="shared" si="1"/>
        <v>10.346487346119108</v>
      </c>
      <c r="K16" s="21">
        <f t="shared" si="1"/>
        <v>0</v>
      </c>
      <c r="L16" s="21">
        <f t="shared" ca="1" si="1"/>
        <v>0</v>
      </c>
      <c r="M16" s="21">
        <f t="shared" si="1"/>
        <v>0</v>
      </c>
      <c r="N16" s="21">
        <f t="shared" ca="1" si="1"/>
        <v>233.73144138103524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0.11772248153328926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1159.1603005416096</v>
      </c>
      <c r="C20" s="23">
        <f t="shared" ref="C20:P20" ca="1" si="2">C16*C18</f>
        <v>0</v>
      </c>
      <c r="D20" s="23">
        <f t="shared" ca="1" si="2"/>
        <v>324.33878954400006</v>
      </c>
      <c r="E20" s="23">
        <f t="shared" si="2"/>
        <v>17.000760459240801</v>
      </c>
      <c r="F20" s="23">
        <f t="shared" ca="1" si="2"/>
        <v>344.76395725076247</v>
      </c>
      <c r="G20" s="23">
        <f t="shared" si="2"/>
        <v>0</v>
      </c>
      <c r="H20" s="23">
        <f t="shared" si="2"/>
        <v>0</v>
      </c>
      <c r="I20" s="23">
        <f t="shared" si="2"/>
        <v>0</v>
      </c>
      <c r="J20" s="23">
        <f t="shared" si="2"/>
        <v>3.6626565205261641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7022.32</v>
      </c>
      <c r="C26" s="39">
        <f>IF(ISERROR(B26*3.6/1000000/'E Balans VL '!Z12*100),0,B26*3.6/1000000/'E Balans VL '!Z12*100)</f>
        <v>0.14717910927871269</v>
      </c>
      <c r="D26" s="235" t="s">
        <v>647</v>
      </c>
      <c r="F26" s="6"/>
    </row>
    <row r="27" spans="1:18">
      <c r="A27" s="230" t="s">
        <v>52</v>
      </c>
      <c r="B27" s="33">
        <f>IF(ISERROR(TER_horeca_ele_kWh/1000),0,TER_horeca_ele_kWh/1000)</f>
        <v>621.70699999999999</v>
      </c>
      <c r="C27" s="39">
        <f>IF(ISERROR(B27*3.6/1000000/'E Balans VL '!Z9*100),0,B27*3.6/1000000/'E Balans VL '!Z9*100)</f>
        <v>4.7666168712526782E-2</v>
      </c>
      <c r="D27" s="235" t="s">
        <v>647</v>
      </c>
      <c r="F27" s="6"/>
    </row>
    <row r="28" spans="1:18">
      <c r="A28" s="170" t="s">
        <v>51</v>
      </c>
      <c r="B28" s="33">
        <f>IF(ISERROR(TER_handel_ele_kWh/1000),0,TER_handel_ele_kWh/1000)</f>
        <v>1636.7149999999999</v>
      </c>
      <c r="C28" s="39">
        <f>IF(ISERROR(B28*3.6/1000000/'E Balans VL '!Z13*100),0,B28*3.6/1000000/'E Balans VL '!Z13*100)</f>
        <v>4.617414466416446E-2</v>
      </c>
      <c r="D28" s="235" t="s">
        <v>647</v>
      </c>
      <c r="F28" s="6"/>
    </row>
    <row r="29" spans="1:18">
      <c r="A29" s="230" t="s">
        <v>50</v>
      </c>
      <c r="B29" s="33">
        <f>IF(ISERROR(TER_gezond_ele_kWh/1000),0,TER_gezond_ele_kWh/1000)</f>
        <v>249.428</v>
      </c>
      <c r="C29" s="39">
        <f>IF(ISERROR(B29*3.6/1000000/'E Balans VL '!Z10*100),0,B29*3.6/1000000/'E Balans VL '!Z10*100)</f>
        <v>2.7695877256559219E-2</v>
      </c>
      <c r="D29" s="235" t="s">
        <v>647</v>
      </c>
      <c r="F29" s="6"/>
    </row>
    <row r="30" spans="1:18">
      <c r="A30" s="230" t="s">
        <v>49</v>
      </c>
      <c r="B30" s="33">
        <f>IF(ISERROR(TER_ander_ele_kWh/1000),0,TER_ander_ele_kWh/1000)</f>
        <v>276.79700000000003</v>
      </c>
      <c r="C30" s="39">
        <f>IF(ISERROR(B30*3.6/1000000/'E Balans VL '!Z14*100),0,B30*3.6/1000000/'E Balans VL '!Z14*100)</f>
        <v>1.997240645723895E-2</v>
      </c>
      <c r="D30" s="235" t="s">
        <v>647</v>
      </c>
      <c r="F30" s="6"/>
    </row>
    <row r="31" spans="1:18">
      <c r="A31" s="230" t="s">
        <v>54</v>
      </c>
      <c r="B31" s="33">
        <f>IF(ISERROR(TER_onderwijs_ele_kWh/1000),0,TER_onderwijs_ele_kWh/1000)</f>
        <v>39.582999999999998</v>
      </c>
      <c r="C31" s="39">
        <f>IF(ISERROR(B31*3.6/1000000/'E Balans VL '!Z11*100),0,B31*3.6/1000000/'E Balans VL '!Z11*100)</f>
        <v>1.0972094058936116E-2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2574.8739999999998</v>
      </c>
      <c r="C5" s="17">
        <f>IF(ISERROR('Eigen informatie GS &amp; warmtenet'!B59),0,'Eigen informatie GS &amp; warmtenet'!B59)</f>
        <v>0</v>
      </c>
      <c r="D5" s="30">
        <f>SUM(D6:D15)</f>
        <v>467.531856</v>
      </c>
      <c r="E5" s="17">
        <f>SUM(E6:E15)</f>
        <v>279.046358283264</v>
      </c>
      <c r="F5" s="17">
        <f>SUM(F6:F15)</f>
        <v>2978.8476179196191</v>
      </c>
      <c r="G5" s="18"/>
      <c r="H5" s="17"/>
      <c r="I5" s="17"/>
      <c r="J5" s="17">
        <f>SUM(J6:J15)</f>
        <v>0.84600248344010909</v>
      </c>
      <c r="K5" s="17"/>
      <c r="L5" s="17"/>
      <c r="M5" s="17"/>
      <c r="N5" s="17">
        <f>SUM(N6:N15)</f>
        <v>564.83467984914535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81.885999999999996</v>
      </c>
      <c r="C8" s="33"/>
      <c r="D8" s="37">
        <f>IF( ISERROR(IND_metaal_Gas_kWH/1000),0,IND_metaal_Gas_kWH/1000)*0.902</f>
        <v>0</v>
      </c>
      <c r="E8" s="33">
        <f>C30*'E Balans VL '!I18/100/3.6*1000000</f>
        <v>2.3520732823372321</v>
      </c>
      <c r="F8" s="33">
        <f>C30*'E Balans VL '!L18/100/3.6*1000000+C30*'E Balans VL '!N18/100/3.6*1000000</f>
        <v>21.002184105889949</v>
      </c>
      <c r="G8" s="34"/>
      <c r="H8" s="33"/>
      <c r="I8" s="33"/>
      <c r="J8" s="40">
        <f>C30*'E Balans VL '!D18/100/3.6*1000000+C30*'E Balans VL '!E18/100/3.6*1000000</f>
        <v>0</v>
      </c>
      <c r="K8" s="33"/>
      <c r="L8" s="33"/>
      <c r="M8" s="33"/>
      <c r="N8" s="33">
        <f>C30*'E Balans VL '!Y18/100/3.6*1000000</f>
        <v>2.2233720530078576</v>
      </c>
      <c r="O8" s="33"/>
      <c r="P8" s="33"/>
      <c r="R8" s="32"/>
    </row>
    <row r="9" spans="1:18">
      <c r="A9" s="6" t="s">
        <v>32</v>
      </c>
      <c r="B9" s="37">
        <f t="shared" si="0"/>
        <v>431.68</v>
      </c>
      <c r="C9" s="33"/>
      <c r="D9" s="37">
        <f>IF( ISERROR(IND_andere_gas_kWh/1000),0,IND_andere_gas_kWh/1000)*0.902</f>
        <v>436.99554799999999</v>
      </c>
      <c r="E9" s="33">
        <f>C31*'E Balans VL '!I19/100/3.6*1000000</f>
        <v>116.84516226638036</v>
      </c>
      <c r="F9" s="33">
        <f>C31*'E Balans VL '!L19/100/3.6*1000000+C31*'E Balans VL '!N19/100/3.6*1000000</f>
        <v>287.54456128637526</v>
      </c>
      <c r="G9" s="34"/>
      <c r="H9" s="33"/>
      <c r="I9" s="33"/>
      <c r="J9" s="40">
        <f>C31*'E Balans VL '!D19/100/3.6*1000000+C31*'E Balans VL '!E19/100/3.6*1000000</f>
        <v>0</v>
      </c>
      <c r="K9" s="33"/>
      <c r="L9" s="33"/>
      <c r="M9" s="33"/>
      <c r="N9" s="33">
        <f>C31*'E Balans VL '!Y19/100/3.6*1000000</f>
        <v>36.495684446543201</v>
      </c>
      <c r="O9" s="33"/>
      <c r="P9" s="33"/>
      <c r="R9" s="32"/>
    </row>
    <row r="10" spans="1:18">
      <c r="A10" s="6" t="s">
        <v>40</v>
      </c>
      <c r="B10" s="37">
        <f t="shared" si="0"/>
        <v>1740.2149999999999</v>
      </c>
      <c r="C10" s="33"/>
      <c r="D10" s="37">
        <f>IF( ISERROR(IND_voed_gas_kWh/1000),0,IND_voed_gas_kWh/1000)*0.902</f>
        <v>0</v>
      </c>
      <c r="E10" s="33">
        <f>C32*'E Balans VL '!I20/100/3.6*1000000</f>
        <v>141.93593343992808</v>
      </c>
      <c r="F10" s="33">
        <f>C32*'E Balans VL '!L20/100/3.6*1000000+C32*'E Balans VL '!N20/100/3.6*1000000</f>
        <v>2594.8184511389868</v>
      </c>
      <c r="G10" s="34"/>
      <c r="H10" s="33"/>
      <c r="I10" s="33"/>
      <c r="J10" s="40">
        <f>C32*'E Balans VL '!D20/100/3.6*1000000+C32*'E Balans VL '!E20/100/3.6*1000000</f>
        <v>2.3020932112361378E-2</v>
      </c>
      <c r="K10" s="33"/>
      <c r="L10" s="33"/>
      <c r="M10" s="33"/>
      <c r="N10" s="33">
        <f>C32*'E Balans VL '!Y20/100/3.6*1000000</f>
        <v>511.21376143388073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321.09300000000002</v>
      </c>
      <c r="C15" s="33"/>
      <c r="D15" s="37">
        <f>IF( ISERROR(IND_rest_gas_kWh/1000),0,IND_rest_gas_kWh/1000)*0.902</f>
        <v>30.536308000000002</v>
      </c>
      <c r="E15" s="33">
        <f>C37*'E Balans VL '!I15/100/3.6*1000000</f>
        <v>17.913189294618352</v>
      </c>
      <c r="F15" s="33">
        <f>C37*'E Balans VL '!L15/100/3.6*1000000+C37*'E Balans VL '!N15/100/3.6*1000000</f>
        <v>75.482421388367158</v>
      </c>
      <c r="G15" s="34"/>
      <c r="H15" s="33"/>
      <c r="I15" s="33"/>
      <c r="J15" s="40">
        <f>C37*'E Balans VL '!D15/100/3.6*1000000+C37*'E Balans VL '!E15/100/3.6*1000000</f>
        <v>0.82298155132774775</v>
      </c>
      <c r="K15" s="33"/>
      <c r="L15" s="33"/>
      <c r="M15" s="33"/>
      <c r="N15" s="33">
        <f>C37*'E Balans VL '!Y15/100/3.6*1000000</f>
        <v>14.901861915713491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2574.8739999999998</v>
      </c>
      <c r="C18" s="21">
        <f>C5+C16</f>
        <v>0</v>
      </c>
      <c r="D18" s="21">
        <f>MAX((D5+D16),0)</f>
        <v>467.531856</v>
      </c>
      <c r="E18" s="21">
        <f>MAX((E5+E16),0)</f>
        <v>279.046358283264</v>
      </c>
      <c r="F18" s="21">
        <f>MAX((F5+F16),0)</f>
        <v>2978.8476179196191</v>
      </c>
      <c r="G18" s="21"/>
      <c r="H18" s="21"/>
      <c r="I18" s="21"/>
      <c r="J18" s="21">
        <f>MAX((J5+J16),0)</f>
        <v>0.84600248344010909</v>
      </c>
      <c r="K18" s="21"/>
      <c r="L18" s="21">
        <f>MAX((L5+L16),0)</f>
        <v>0</v>
      </c>
      <c r="M18" s="21"/>
      <c r="N18" s="21">
        <f>MAX((N5+N16),0)</f>
        <v>564.83467984914535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0.11772248153328926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303.12055691554662</v>
      </c>
      <c r="C22" s="23">
        <f ca="1">C18*C20</f>
        <v>0</v>
      </c>
      <c r="D22" s="23">
        <f>D18*D20</f>
        <v>94.441434912000005</v>
      </c>
      <c r="E22" s="23">
        <f>E18*E20</f>
        <v>63.343523330300933</v>
      </c>
      <c r="F22" s="23">
        <f>F18*F20</f>
        <v>795.35231398453834</v>
      </c>
      <c r="G22" s="23"/>
      <c r="H22" s="23"/>
      <c r="I22" s="23"/>
      <c r="J22" s="23">
        <f>J18*J20</f>
        <v>0.29948487913779859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81.885999999999996</v>
      </c>
      <c r="C30" s="39">
        <f>IF(ISERROR(B30*3.6/1000000/'E Balans VL '!Z18*100),0,B30*3.6/1000000/'E Balans VL '!Z18*100)</f>
        <v>8.0573733673092191E-3</v>
      </c>
      <c r="D30" s="235" t="s">
        <v>647</v>
      </c>
    </row>
    <row r="31" spans="1:18">
      <c r="A31" s="6" t="s">
        <v>32</v>
      </c>
      <c r="B31" s="37">
        <f>IF( ISERROR(IND_ander_ele_kWh/1000),0,IND_ander_ele_kWh/1000)</f>
        <v>431.68</v>
      </c>
      <c r="C31" s="39">
        <f>IF(ISERROR(B31*3.6/1000000/'E Balans VL '!Z19*100),0,B31*3.6/1000000/'E Balans VL '!Z19*100)</f>
        <v>1.8799319652256046E-2</v>
      </c>
      <c r="D31" s="235" t="s">
        <v>647</v>
      </c>
    </row>
    <row r="32" spans="1:18">
      <c r="A32" s="170" t="s">
        <v>40</v>
      </c>
      <c r="B32" s="37">
        <f>IF( ISERROR(IND_voed_ele_kWh/1000),0,IND_voed_ele_kWh/1000)</f>
        <v>1740.2149999999999</v>
      </c>
      <c r="C32" s="39">
        <f>IF(ISERROR(B32*3.6/1000000/'E Balans VL '!Z20*100),0,B32*3.6/1000000/'E Balans VL '!Z20*100)</f>
        <v>0.3301806996195128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321.09300000000002</v>
      </c>
      <c r="C37" s="39">
        <f>IF(ISERROR(B37*3.6/1000000/'E Balans VL '!Z15*100),0,B37*3.6/1000000/'E Balans VL '!Z15*100)</f>
        <v>2.4744159484976973E-3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2991.8229999999999</v>
      </c>
      <c r="C5" s="17">
        <f>'Eigen informatie GS &amp; warmtenet'!B60</f>
        <v>0</v>
      </c>
      <c r="D5" s="30">
        <f>IF(ISERROR(SUM(LB_lb_gas_kWh,LB_rest_gas_kWh)/1000),0,SUM(LB_lb_gas_kWh,LB_rest_gas_kWh)/1000)*0.902</f>
        <v>80.609034000000008</v>
      </c>
      <c r="E5" s="17">
        <f>B17*'E Balans VL '!I25/3.6*1000000/100</f>
        <v>62.124337434426842</v>
      </c>
      <c r="F5" s="17">
        <f>B17*('E Balans VL '!L25/3.6*1000000+'E Balans VL '!N25/3.6*1000000)/100</f>
        <v>10573.178824584347</v>
      </c>
      <c r="G5" s="18"/>
      <c r="H5" s="17"/>
      <c r="I5" s="17"/>
      <c r="J5" s="17">
        <f>('E Balans VL '!D25+'E Balans VL '!E25)/3.6*1000000*landbouw!B17/100</f>
        <v>343.14317532715876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2991.8229999999999</v>
      </c>
      <c r="C8" s="21">
        <f>C5+C6</f>
        <v>0</v>
      </c>
      <c r="D8" s="21">
        <f>MAX((D5+D6),0)</f>
        <v>80.609034000000008</v>
      </c>
      <c r="E8" s="21">
        <f>MAX((E5+E6),0)</f>
        <v>62.124337434426842</v>
      </c>
      <c r="F8" s="21">
        <f>MAX((F5+F6),0)</f>
        <v>10573.178824584347</v>
      </c>
      <c r="G8" s="21"/>
      <c r="H8" s="21"/>
      <c r="I8" s="21"/>
      <c r="J8" s="21">
        <f>MAX((J5+J6),0)</f>
        <v>343.14317532715876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0.11772248153328926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352.20482786837005</v>
      </c>
      <c r="C12" s="23">
        <f ca="1">C8*C10</f>
        <v>0</v>
      </c>
      <c r="D12" s="23">
        <f>D8*D10</f>
        <v>16.283024868000002</v>
      </c>
      <c r="E12" s="23">
        <f>E8*E10</f>
        <v>14.102224597614894</v>
      </c>
      <c r="F12" s="23">
        <f>F8*F10</f>
        <v>2823.0387461640207</v>
      </c>
      <c r="G12" s="23"/>
      <c r="H12" s="23"/>
      <c r="I12" s="23"/>
      <c r="J12" s="23">
        <f>J8*J10</f>
        <v>121.47268406581419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0.41726501171261965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126.65996682656161</v>
      </c>
      <c r="C26" s="245">
        <f>B26*'GWP N2O_CH4'!B5</f>
        <v>2659.859303357794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91.889408326462586</v>
      </c>
      <c r="C27" s="245">
        <f>B27*'GWP N2O_CH4'!B5</f>
        <v>1929.6775748557143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2.1857833652078962</v>
      </c>
      <c r="C28" s="245">
        <f>B28*'GWP N2O_CH4'!B4</f>
        <v>677.59284321444784</v>
      </c>
      <c r="D28" s="50"/>
    </row>
    <row r="29" spans="1:4">
      <c r="A29" s="41" t="s">
        <v>266</v>
      </c>
      <c r="B29" s="245">
        <f>B34*'ha_N2O bodem landbouw'!B4</f>
        <v>14.283984725317016</v>
      </c>
      <c r="C29" s="245">
        <f>B29*'GWP N2O_CH4'!B4</f>
        <v>4428.0352648482749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3.5665682563526709E-3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5.4083280104036228E-5</v>
      </c>
      <c r="C5" s="434" t="s">
        <v>204</v>
      </c>
      <c r="D5" s="419">
        <f>SUM(D6:D11)</f>
        <v>4.8001083348756028E-5</v>
      </c>
      <c r="E5" s="419">
        <f>SUM(E6:E11)</f>
        <v>1.9509774963284831E-3</v>
      </c>
      <c r="F5" s="432" t="s">
        <v>204</v>
      </c>
      <c r="G5" s="419">
        <f>SUM(G6:G11)</f>
        <v>0.55005641199521216</v>
      </c>
      <c r="H5" s="419">
        <f>SUM(H6:H11)</f>
        <v>9.0580869449452081E-2</v>
      </c>
      <c r="I5" s="434" t="s">
        <v>204</v>
      </c>
      <c r="J5" s="434" t="s">
        <v>204</v>
      </c>
      <c r="K5" s="434" t="s">
        <v>204</v>
      </c>
      <c r="L5" s="434" t="s">
        <v>204</v>
      </c>
      <c r="M5" s="419">
        <f>SUM(M6:M11)</f>
        <v>2.8964689227320612E-2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1.2519765012838759E-5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1.1105131019341467E-5</v>
      </c>
      <c r="E6" s="836">
        <f>vkm_GW_PW*SUMIFS(TableVerdeelsleutelVkm[LPG],TableVerdeelsleutelVkm[Voertuigtype],"Lichte voertuigen")*SUMIFS(TableECFTransport[EnergieConsumptieFactor (PJ per km)],TableECFTransport[Index],CONCATENATE($A6,"_LPG_LPG"))</f>
        <v>3.9877608952866659E-4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7.9274465866732105E-2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2.0464220947764261E-2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4.5121970368087374E-3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3.3735157945042988E-7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5.2790506237448721E-2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1.3886853771643495E-6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2.3835811470139779E-3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6.0980616552533251E-6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8.5099964279704851E-6</v>
      </c>
      <c r="E8" s="422">
        <f>vkm_NGW_PW*SUMIFS(TableVerdeelsleutelVkm[LPG],TableVerdeelsleutelVkm[Voertuigtype],"Lichte voertuigen")*SUMIFS(TableECFTransport[EnergieConsumptieFactor (PJ per km)],TableECFTransport[Index],CONCATENATE($A8,"_LPG_LPG"))</f>
        <v>2.9011854609492272E-4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5.4411295330572006E-2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1.5031417681272573E-2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3.141943841773181E-3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4.860266774848499E-8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9.7695202486725898E-3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2.4148917548453074E-7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4.4110974924150691E-4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3.424764223020249E-5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2.838595590144408E-5</v>
      </c>
      <c r="E10" s="422">
        <f>vkm_SW_PW*SUMIFS(TableVerdeelsleutelVkm[LPG],TableVerdeelsleutelVkm[Voertuigtype],"Lichte voertuigen")*SUMIFS(TableECFTransport[EnergieConsumptieFactor (PJ per km)],TableECFTransport[Index],CONCATENATE($A10,"_LPG_LPG"))</f>
        <v>1.2620828607048937E-3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0.22978277050215493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5.5080076124008358E-2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1.2885776957083161E-2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8.3185695854274246E-7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0.1240278538096318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3.5245218542437864E-6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5.6000804954000468E-3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15.023133362232286</v>
      </c>
      <c r="C14" s="21"/>
      <c r="D14" s="21">
        <f t="shared" ref="D14:M14" si="0">((D5)*10^9/3600)+D12</f>
        <v>13.333634263543342</v>
      </c>
      <c r="E14" s="21">
        <f t="shared" si="0"/>
        <v>541.93819342457869</v>
      </c>
      <c r="F14" s="21"/>
      <c r="G14" s="21">
        <f t="shared" si="0"/>
        <v>152793.44777644784</v>
      </c>
      <c r="H14" s="21">
        <f t="shared" si="0"/>
        <v>25161.352624847801</v>
      </c>
      <c r="I14" s="21"/>
      <c r="J14" s="21"/>
      <c r="K14" s="21"/>
      <c r="L14" s="21"/>
      <c r="M14" s="21">
        <f t="shared" si="0"/>
        <v>8045.7470075890587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0.11772248153328926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1.7685605398075321</v>
      </c>
      <c r="C18" s="23"/>
      <c r="D18" s="23">
        <f t="shared" ref="D18:M18" si="1">D14*D16</f>
        <v>2.6933941212357553</v>
      </c>
      <c r="E18" s="23">
        <f t="shared" si="1"/>
        <v>123.01996990737936</v>
      </c>
      <c r="F18" s="23"/>
      <c r="G18" s="23">
        <f t="shared" si="1"/>
        <v>40795.850556311576</v>
      </c>
      <c r="H18" s="23">
        <f t="shared" si="1"/>
        <v>6265.1768035871028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2.1339547260509977E-5</v>
      </c>
      <c r="C50" s="316">
        <f t="shared" ref="C50:P50" si="2">SUM(C51:C52)</f>
        <v>0</v>
      </c>
      <c r="D50" s="316">
        <f t="shared" si="2"/>
        <v>0</v>
      </c>
      <c r="E50" s="316">
        <f t="shared" si="2"/>
        <v>0</v>
      </c>
      <c r="F50" s="316">
        <f t="shared" si="2"/>
        <v>0</v>
      </c>
      <c r="G50" s="316">
        <f t="shared" si="2"/>
        <v>4.1536221267126899E-3</v>
      </c>
      <c r="H50" s="316">
        <f t="shared" si="2"/>
        <v>0</v>
      </c>
      <c r="I50" s="316">
        <f t="shared" si="2"/>
        <v>0</v>
      </c>
      <c r="J50" s="316">
        <f t="shared" si="2"/>
        <v>0</v>
      </c>
      <c r="K50" s="316">
        <f t="shared" si="2"/>
        <v>0</v>
      </c>
      <c r="L50" s="316">
        <f t="shared" si="2"/>
        <v>0</v>
      </c>
      <c r="M50" s="316">
        <f t="shared" si="2"/>
        <v>1.8625190630643107E-4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2.1339547260509977E-5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4.1536221267126899E-3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1.8625190630643107E-4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5.9276520168083273</v>
      </c>
      <c r="C54" s="21">
        <f t="shared" ref="C54:P54" si="3">(C50)*10^9/3600</f>
        <v>0</v>
      </c>
      <c r="D54" s="21">
        <f t="shared" si="3"/>
        <v>0</v>
      </c>
      <c r="E54" s="21">
        <f t="shared" si="3"/>
        <v>0</v>
      </c>
      <c r="F54" s="21">
        <f t="shared" si="3"/>
        <v>0</v>
      </c>
      <c r="G54" s="21">
        <f t="shared" si="3"/>
        <v>1153.7839240868582</v>
      </c>
      <c r="H54" s="21">
        <f t="shared" si="3"/>
        <v>0</v>
      </c>
      <c r="I54" s="21">
        <f t="shared" si="3"/>
        <v>0</v>
      </c>
      <c r="J54" s="21">
        <f t="shared" si="3"/>
        <v>0</v>
      </c>
      <c r="K54" s="21">
        <f t="shared" si="3"/>
        <v>0</v>
      </c>
      <c r="L54" s="21">
        <f t="shared" si="3"/>
        <v>0</v>
      </c>
      <c r="M54" s="21">
        <f t="shared" si="3"/>
        <v>51.736640640675297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0.11772248153328926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0.69781790508448316</v>
      </c>
      <c r="C58" s="23">
        <f t="shared" ref="C58:P58" ca="1" si="4">C54*C56</f>
        <v>0</v>
      </c>
      <c r="D58" s="23">
        <f t="shared" si="4"/>
        <v>0</v>
      </c>
      <c r="E58" s="23">
        <f t="shared" si="4"/>
        <v>0</v>
      </c>
      <c r="F58" s="23">
        <f t="shared" si="4"/>
        <v>0</v>
      </c>
      <c r="G58" s="23">
        <f t="shared" si="4"/>
        <v>308.06030773119113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8464.710943</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4560.2614227895483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13024.972365789548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10342.111000000001</v>
      </c>
      <c r="D10" s="640">
        <f ca="1">tertiair!C16</f>
        <v>0</v>
      </c>
      <c r="E10" s="640">
        <f ca="1">tertiair!D16</f>
        <v>1605.6375720000001</v>
      </c>
      <c r="F10" s="640">
        <f>tertiair!E16</f>
        <v>74.893217882118066</v>
      </c>
      <c r="G10" s="640">
        <f ca="1">tertiair!F16</f>
        <v>1291.2507762200842</v>
      </c>
      <c r="H10" s="640">
        <f>tertiair!G16</f>
        <v>0</v>
      </c>
      <c r="I10" s="640">
        <f>tertiair!H16</f>
        <v>0</v>
      </c>
      <c r="J10" s="640">
        <f>tertiair!I16</f>
        <v>0</v>
      </c>
      <c r="K10" s="640">
        <f>tertiair!J16</f>
        <v>10.346487346119108</v>
      </c>
      <c r="L10" s="640">
        <f>tertiair!K16</f>
        <v>0</v>
      </c>
      <c r="M10" s="640">
        <f ca="1">tertiair!L16</f>
        <v>0</v>
      </c>
      <c r="N10" s="640">
        <f>tertiair!M16</f>
        <v>0</v>
      </c>
      <c r="O10" s="640">
        <f ca="1">tertiair!N16</f>
        <v>233.73144138103524</v>
      </c>
      <c r="P10" s="640">
        <f>tertiair!O16</f>
        <v>1.5633333333333335</v>
      </c>
      <c r="Q10" s="641">
        <f>tertiair!P16</f>
        <v>0</v>
      </c>
      <c r="R10" s="643">
        <f ca="1">SUM(C10:Q10)</f>
        <v>13559.53382816269</v>
      </c>
      <c r="S10" s="67"/>
    </row>
    <row r="11" spans="1:19" s="444" customFormat="1">
      <c r="A11" s="754" t="s">
        <v>214</v>
      </c>
      <c r="B11" s="759"/>
      <c r="C11" s="640">
        <f>huishoudens!B8</f>
        <v>11720.86438352095</v>
      </c>
      <c r="D11" s="640">
        <f>huishoudens!C8</f>
        <v>0</v>
      </c>
      <c r="E11" s="640">
        <f>huishoudens!D8</f>
        <v>7093.6617400000005</v>
      </c>
      <c r="F11" s="640">
        <f>huishoudens!E8</f>
        <v>1125.8173680851417</v>
      </c>
      <c r="G11" s="640">
        <f>huishoudens!F8</f>
        <v>34501.205482551828</v>
      </c>
      <c r="H11" s="640">
        <f>huishoudens!G8</f>
        <v>0</v>
      </c>
      <c r="I11" s="640">
        <f>huishoudens!H8</f>
        <v>0</v>
      </c>
      <c r="J11" s="640">
        <f>huishoudens!I8</f>
        <v>0</v>
      </c>
      <c r="K11" s="640">
        <f>huishoudens!J8</f>
        <v>653.38413392285111</v>
      </c>
      <c r="L11" s="640">
        <f>huishoudens!K8</f>
        <v>0</v>
      </c>
      <c r="M11" s="640">
        <f>huishoudens!L8</f>
        <v>0</v>
      </c>
      <c r="N11" s="640">
        <f>huishoudens!M8</f>
        <v>0</v>
      </c>
      <c r="O11" s="640">
        <f>huishoudens!N8</f>
        <v>4292.0839699231919</v>
      </c>
      <c r="P11" s="640">
        <f>huishoudens!O8</f>
        <v>100.05333333333334</v>
      </c>
      <c r="Q11" s="641">
        <f>huishoudens!P8</f>
        <v>476.66666666666663</v>
      </c>
      <c r="R11" s="643">
        <f>SUM(C11:Q11)</f>
        <v>59963.737078003971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2574.8739999999998</v>
      </c>
      <c r="D13" s="640">
        <f>industrie!C18</f>
        <v>0</v>
      </c>
      <c r="E13" s="640">
        <f>industrie!D18</f>
        <v>467.531856</v>
      </c>
      <c r="F13" s="640">
        <f>industrie!E18</f>
        <v>279.046358283264</v>
      </c>
      <c r="G13" s="640">
        <f>industrie!F18</f>
        <v>2978.8476179196191</v>
      </c>
      <c r="H13" s="640">
        <f>industrie!G18</f>
        <v>0</v>
      </c>
      <c r="I13" s="640">
        <f>industrie!H18</f>
        <v>0</v>
      </c>
      <c r="J13" s="640">
        <f>industrie!I18</f>
        <v>0</v>
      </c>
      <c r="K13" s="640">
        <f>industrie!J18</f>
        <v>0.84600248344010909</v>
      </c>
      <c r="L13" s="640">
        <f>industrie!K18</f>
        <v>0</v>
      </c>
      <c r="M13" s="640">
        <f>industrie!L18</f>
        <v>0</v>
      </c>
      <c r="N13" s="640">
        <f>industrie!M18</f>
        <v>0</v>
      </c>
      <c r="O13" s="640">
        <f>industrie!N18</f>
        <v>564.83467984914535</v>
      </c>
      <c r="P13" s="640">
        <f>industrie!O18</f>
        <v>0</v>
      </c>
      <c r="Q13" s="641">
        <f>industrie!P18</f>
        <v>0</v>
      </c>
      <c r="R13" s="643">
        <f>SUM(C13:Q13)</f>
        <v>6865.9805145354694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24637.849383520948</v>
      </c>
      <c r="D16" s="675">
        <f t="shared" ref="D16:R16" ca="1" si="0">SUM(D9:D15)</f>
        <v>0</v>
      </c>
      <c r="E16" s="675">
        <f t="shared" ca="1" si="0"/>
        <v>9166.8311680000006</v>
      </c>
      <c r="F16" s="675">
        <f t="shared" si="0"/>
        <v>1479.7569442505237</v>
      </c>
      <c r="G16" s="675">
        <f t="shared" ca="1" si="0"/>
        <v>38771.303876691534</v>
      </c>
      <c r="H16" s="675">
        <f t="shared" si="0"/>
        <v>0</v>
      </c>
      <c r="I16" s="675">
        <f t="shared" si="0"/>
        <v>0</v>
      </c>
      <c r="J16" s="675">
        <f t="shared" si="0"/>
        <v>0</v>
      </c>
      <c r="K16" s="675">
        <f t="shared" si="0"/>
        <v>664.57662375241034</v>
      </c>
      <c r="L16" s="675">
        <f t="shared" si="0"/>
        <v>0</v>
      </c>
      <c r="M16" s="675">
        <f t="shared" ca="1" si="0"/>
        <v>0</v>
      </c>
      <c r="N16" s="675">
        <f t="shared" si="0"/>
        <v>0</v>
      </c>
      <c r="O16" s="675">
        <f t="shared" ca="1" si="0"/>
        <v>5090.6500911533731</v>
      </c>
      <c r="P16" s="675">
        <f t="shared" si="0"/>
        <v>101.61666666666667</v>
      </c>
      <c r="Q16" s="675">
        <f t="shared" si="0"/>
        <v>476.66666666666663</v>
      </c>
      <c r="R16" s="675">
        <f t="shared" ca="1" si="0"/>
        <v>80389.251420702145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5.9276520168083273</v>
      </c>
      <c r="D19" s="640">
        <f>transport!C54</f>
        <v>0</v>
      </c>
      <c r="E19" s="640">
        <f>transport!D54</f>
        <v>0</v>
      </c>
      <c r="F19" s="640">
        <f>transport!E54</f>
        <v>0</v>
      </c>
      <c r="G19" s="640">
        <f>transport!F54</f>
        <v>0</v>
      </c>
      <c r="H19" s="640">
        <f>transport!G54</f>
        <v>1153.7839240868582</v>
      </c>
      <c r="I19" s="640">
        <f>transport!H54</f>
        <v>0</v>
      </c>
      <c r="J19" s="640">
        <f>transport!I54</f>
        <v>0</v>
      </c>
      <c r="K19" s="640">
        <f>transport!J54</f>
        <v>0</v>
      </c>
      <c r="L19" s="640">
        <f>transport!K54</f>
        <v>0</v>
      </c>
      <c r="M19" s="640">
        <f>transport!L54</f>
        <v>0</v>
      </c>
      <c r="N19" s="640">
        <f>transport!M54</f>
        <v>51.736640640675297</v>
      </c>
      <c r="O19" s="640">
        <f>transport!N54</f>
        <v>0</v>
      </c>
      <c r="P19" s="640">
        <f>transport!O54</f>
        <v>0</v>
      </c>
      <c r="Q19" s="641">
        <f>transport!P54</f>
        <v>0</v>
      </c>
      <c r="R19" s="643">
        <f>SUM(C19:Q19)</f>
        <v>1211.4482167443416</v>
      </c>
      <c r="S19" s="67"/>
    </row>
    <row r="20" spans="1:19" s="444" customFormat="1">
      <c r="A20" s="754" t="s">
        <v>296</v>
      </c>
      <c r="B20" s="759"/>
      <c r="C20" s="640">
        <f>transport!B14</f>
        <v>15.023133362232286</v>
      </c>
      <c r="D20" s="640">
        <f>transport!C14</f>
        <v>0</v>
      </c>
      <c r="E20" s="640">
        <f>transport!D14</f>
        <v>13.333634263543342</v>
      </c>
      <c r="F20" s="640">
        <f>transport!E14</f>
        <v>541.93819342457869</v>
      </c>
      <c r="G20" s="640">
        <f>transport!F14</f>
        <v>0</v>
      </c>
      <c r="H20" s="640">
        <f>transport!G14</f>
        <v>152793.44777644784</v>
      </c>
      <c r="I20" s="640">
        <f>transport!H14</f>
        <v>25161.352624847801</v>
      </c>
      <c r="J20" s="640">
        <f>transport!I14</f>
        <v>0</v>
      </c>
      <c r="K20" s="640">
        <f>transport!J14</f>
        <v>0</v>
      </c>
      <c r="L20" s="640">
        <f>transport!K14</f>
        <v>0</v>
      </c>
      <c r="M20" s="640">
        <f>transport!L14</f>
        <v>0</v>
      </c>
      <c r="N20" s="640">
        <f>transport!M14</f>
        <v>8045.7470075890587</v>
      </c>
      <c r="O20" s="640">
        <f>transport!N14</f>
        <v>0</v>
      </c>
      <c r="P20" s="640">
        <f>transport!O14</f>
        <v>0</v>
      </c>
      <c r="Q20" s="641">
        <f>transport!P14</f>
        <v>0</v>
      </c>
      <c r="R20" s="643">
        <f>SUM(C20:Q20)</f>
        <v>186570.84236993504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20.950785379040614</v>
      </c>
      <c r="D22" s="757">
        <f t="shared" ref="D22:R22" si="1">SUM(D18:D21)</f>
        <v>0</v>
      </c>
      <c r="E22" s="757">
        <f t="shared" si="1"/>
        <v>13.333634263543342</v>
      </c>
      <c r="F22" s="757">
        <f t="shared" si="1"/>
        <v>541.93819342457869</v>
      </c>
      <c r="G22" s="757">
        <f t="shared" si="1"/>
        <v>0</v>
      </c>
      <c r="H22" s="757">
        <f t="shared" si="1"/>
        <v>153947.2317005347</v>
      </c>
      <c r="I22" s="757">
        <f t="shared" si="1"/>
        <v>25161.352624847801</v>
      </c>
      <c r="J22" s="757">
        <f t="shared" si="1"/>
        <v>0</v>
      </c>
      <c r="K22" s="757">
        <f t="shared" si="1"/>
        <v>0</v>
      </c>
      <c r="L22" s="757">
        <f t="shared" si="1"/>
        <v>0</v>
      </c>
      <c r="M22" s="757">
        <f t="shared" si="1"/>
        <v>0</v>
      </c>
      <c r="N22" s="757">
        <f t="shared" si="1"/>
        <v>8097.4836482297342</v>
      </c>
      <c r="O22" s="757">
        <f t="shared" si="1"/>
        <v>0</v>
      </c>
      <c r="P22" s="757">
        <f t="shared" si="1"/>
        <v>0</v>
      </c>
      <c r="Q22" s="757">
        <f t="shared" si="1"/>
        <v>0</v>
      </c>
      <c r="R22" s="757">
        <f t="shared" si="1"/>
        <v>187782.29058667939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2991.8229999999999</v>
      </c>
      <c r="D24" s="640">
        <f>+landbouw!C8</f>
        <v>0</v>
      </c>
      <c r="E24" s="640">
        <f>+landbouw!D8</f>
        <v>80.609034000000008</v>
      </c>
      <c r="F24" s="640">
        <f>+landbouw!E8</f>
        <v>62.124337434426842</v>
      </c>
      <c r="G24" s="640">
        <f>+landbouw!F8</f>
        <v>10573.178824584347</v>
      </c>
      <c r="H24" s="640">
        <f>+landbouw!G8</f>
        <v>0</v>
      </c>
      <c r="I24" s="640">
        <f>+landbouw!H8</f>
        <v>0</v>
      </c>
      <c r="J24" s="640">
        <f>+landbouw!I8</f>
        <v>0</v>
      </c>
      <c r="K24" s="640">
        <f>+landbouw!J8</f>
        <v>343.14317532715876</v>
      </c>
      <c r="L24" s="640">
        <f>+landbouw!K8</f>
        <v>0</v>
      </c>
      <c r="M24" s="640">
        <f>+landbouw!L8</f>
        <v>0</v>
      </c>
      <c r="N24" s="640">
        <f>+landbouw!M8</f>
        <v>0</v>
      </c>
      <c r="O24" s="640">
        <f>+landbouw!N8</f>
        <v>0</v>
      </c>
      <c r="P24" s="640">
        <f>+landbouw!O8</f>
        <v>0</v>
      </c>
      <c r="Q24" s="641">
        <f>+landbouw!P8</f>
        <v>0</v>
      </c>
      <c r="R24" s="643">
        <f>SUM(C24:Q24)</f>
        <v>14050.878371345932</v>
      </c>
      <c r="S24" s="67"/>
    </row>
    <row r="25" spans="1:19" s="444" customFormat="1" ht="15" thickBot="1">
      <c r="A25" s="776" t="s">
        <v>806</v>
      </c>
      <c r="B25" s="939"/>
      <c r="C25" s="940">
        <f>IF(Onbekend_ele_kWh="---",0,Onbekend_ele_kWh)/1000+IF(REST_rest_ele_kWh="---",0,REST_rest_ele_kWh)/1000</f>
        <v>221.066</v>
      </c>
      <c r="D25" s="940"/>
      <c r="E25" s="940">
        <f>IF(onbekend_gas_kWh="---",0,onbekend_gas_kWh)/1000+IF(REST_rest_gas_kWh="---",0,REST_rest_gas_kWh)/1000</f>
        <v>576.65200000000004</v>
      </c>
      <c r="F25" s="940"/>
      <c r="G25" s="940"/>
      <c r="H25" s="940"/>
      <c r="I25" s="940"/>
      <c r="J25" s="940"/>
      <c r="K25" s="940"/>
      <c r="L25" s="940"/>
      <c r="M25" s="940"/>
      <c r="N25" s="940"/>
      <c r="O25" s="940"/>
      <c r="P25" s="940"/>
      <c r="Q25" s="941"/>
      <c r="R25" s="643">
        <f>SUM(C25:Q25)</f>
        <v>797.71800000000007</v>
      </c>
      <c r="S25" s="67"/>
    </row>
    <row r="26" spans="1:19" s="444" customFormat="1" ht="15.75" thickBot="1">
      <c r="A26" s="648" t="s">
        <v>807</v>
      </c>
      <c r="B26" s="762"/>
      <c r="C26" s="757">
        <f>SUM(C24:C25)</f>
        <v>3212.8889999999997</v>
      </c>
      <c r="D26" s="757">
        <f t="shared" ref="D26:R26" si="2">SUM(D24:D25)</f>
        <v>0</v>
      </c>
      <c r="E26" s="757">
        <f t="shared" si="2"/>
        <v>657.26103400000011</v>
      </c>
      <c r="F26" s="757">
        <f t="shared" si="2"/>
        <v>62.124337434426842</v>
      </c>
      <c r="G26" s="757">
        <f t="shared" si="2"/>
        <v>10573.178824584347</v>
      </c>
      <c r="H26" s="757">
        <f t="shared" si="2"/>
        <v>0</v>
      </c>
      <c r="I26" s="757">
        <f t="shared" si="2"/>
        <v>0</v>
      </c>
      <c r="J26" s="757">
        <f t="shared" si="2"/>
        <v>0</v>
      </c>
      <c r="K26" s="757">
        <f t="shared" si="2"/>
        <v>343.14317532715876</v>
      </c>
      <c r="L26" s="757">
        <f t="shared" si="2"/>
        <v>0</v>
      </c>
      <c r="M26" s="757">
        <f t="shared" si="2"/>
        <v>0</v>
      </c>
      <c r="N26" s="757">
        <f t="shared" si="2"/>
        <v>0</v>
      </c>
      <c r="O26" s="757">
        <f t="shared" si="2"/>
        <v>0</v>
      </c>
      <c r="P26" s="757">
        <f t="shared" si="2"/>
        <v>0</v>
      </c>
      <c r="Q26" s="757">
        <f t="shared" si="2"/>
        <v>0</v>
      </c>
      <c r="R26" s="757">
        <f t="shared" si="2"/>
        <v>14848.596371345933</v>
      </c>
      <c r="S26" s="67"/>
    </row>
    <row r="27" spans="1:19" s="444" customFormat="1" ht="17.25" thickTop="1" thickBot="1">
      <c r="A27" s="649" t="s">
        <v>109</v>
      </c>
      <c r="B27" s="749"/>
      <c r="C27" s="650">
        <f ca="1">C22+C16+C26</f>
        <v>27871.689168899989</v>
      </c>
      <c r="D27" s="650">
        <f t="shared" ref="D27:R27" ca="1" si="3">D22+D16+D26</f>
        <v>0</v>
      </c>
      <c r="E27" s="650">
        <f t="shared" ca="1" si="3"/>
        <v>9837.4258362635446</v>
      </c>
      <c r="F27" s="650">
        <f t="shared" si="3"/>
        <v>2083.8194751095293</v>
      </c>
      <c r="G27" s="650">
        <f t="shared" ca="1" si="3"/>
        <v>49344.482701275883</v>
      </c>
      <c r="H27" s="650">
        <f t="shared" si="3"/>
        <v>153947.2317005347</v>
      </c>
      <c r="I27" s="650">
        <f t="shared" si="3"/>
        <v>25161.352624847801</v>
      </c>
      <c r="J27" s="650">
        <f t="shared" si="3"/>
        <v>0</v>
      </c>
      <c r="K27" s="650">
        <f t="shared" si="3"/>
        <v>1007.7197990795692</v>
      </c>
      <c r="L27" s="650">
        <f t="shared" si="3"/>
        <v>0</v>
      </c>
      <c r="M27" s="650">
        <f t="shared" ca="1" si="3"/>
        <v>0</v>
      </c>
      <c r="N27" s="650">
        <f t="shared" si="3"/>
        <v>8097.4836482297342</v>
      </c>
      <c r="O27" s="650">
        <f t="shared" ca="1" si="3"/>
        <v>5090.6500911533731</v>
      </c>
      <c r="P27" s="650">
        <f t="shared" si="3"/>
        <v>101.61666666666667</v>
      </c>
      <c r="Q27" s="650">
        <f t="shared" si="3"/>
        <v>476.66666666666663</v>
      </c>
      <c r="R27" s="650">
        <f t="shared" ca="1" si="3"/>
        <v>283020.13837872748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1217.4989712127278</v>
      </c>
      <c r="D40" s="640">
        <f ca="1">tertiair!C20</f>
        <v>0</v>
      </c>
      <c r="E40" s="640">
        <f ca="1">tertiair!D20</f>
        <v>324.33878954400006</v>
      </c>
      <c r="F40" s="640">
        <f>tertiair!E20</f>
        <v>17.000760459240801</v>
      </c>
      <c r="G40" s="640">
        <f ca="1">tertiair!F20</f>
        <v>344.76395725076247</v>
      </c>
      <c r="H40" s="640">
        <f>tertiair!G20</f>
        <v>0</v>
      </c>
      <c r="I40" s="640">
        <f>tertiair!H20</f>
        <v>0</v>
      </c>
      <c r="J40" s="640">
        <f>tertiair!I20</f>
        <v>0</v>
      </c>
      <c r="K40" s="640">
        <f>tertiair!J20</f>
        <v>3.6626565205261641</v>
      </c>
      <c r="L40" s="640">
        <f>tertiair!K20</f>
        <v>0</v>
      </c>
      <c r="M40" s="640">
        <f ca="1">tertiair!L20</f>
        <v>0</v>
      </c>
      <c r="N40" s="640">
        <f>tertiair!M20</f>
        <v>0</v>
      </c>
      <c r="O40" s="640">
        <f ca="1">tertiair!N20</f>
        <v>0</v>
      </c>
      <c r="P40" s="640">
        <f>tertiair!O20</f>
        <v>0</v>
      </c>
      <c r="Q40" s="717">
        <f>tertiair!P20</f>
        <v>0</v>
      </c>
      <c r="R40" s="795">
        <f t="shared" ca="1" si="4"/>
        <v>1907.2651349872572</v>
      </c>
    </row>
    <row r="41" spans="1:18">
      <c r="A41" s="767" t="s">
        <v>214</v>
      </c>
      <c r="B41" s="774"/>
      <c r="C41" s="640">
        <f ca="1">huishoudens!B12</f>
        <v>1379.8092409432329</v>
      </c>
      <c r="D41" s="640">
        <f ca="1">huishoudens!C12</f>
        <v>0</v>
      </c>
      <c r="E41" s="640">
        <f>huishoudens!D12</f>
        <v>1432.9196714800003</v>
      </c>
      <c r="F41" s="640">
        <f>huishoudens!E12</f>
        <v>255.56054255532717</v>
      </c>
      <c r="G41" s="640">
        <f>huishoudens!F12</f>
        <v>9211.8218638413382</v>
      </c>
      <c r="H41" s="640">
        <f>huishoudens!G12</f>
        <v>0</v>
      </c>
      <c r="I41" s="640">
        <f>huishoudens!H12</f>
        <v>0</v>
      </c>
      <c r="J41" s="640">
        <f>huishoudens!I12</f>
        <v>0</v>
      </c>
      <c r="K41" s="640">
        <f>huishoudens!J12</f>
        <v>231.29798340868928</v>
      </c>
      <c r="L41" s="640">
        <f>huishoudens!K12</f>
        <v>0</v>
      </c>
      <c r="M41" s="640">
        <f>huishoudens!L12</f>
        <v>0</v>
      </c>
      <c r="N41" s="640">
        <f>huishoudens!M12</f>
        <v>0</v>
      </c>
      <c r="O41" s="640">
        <f>huishoudens!N12</f>
        <v>0</v>
      </c>
      <c r="P41" s="640">
        <f>huishoudens!O12</f>
        <v>0</v>
      </c>
      <c r="Q41" s="717">
        <f>huishoudens!P12</f>
        <v>0</v>
      </c>
      <c r="R41" s="795">
        <f t="shared" ca="1" si="4"/>
        <v>12511.409302228587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303.12055691554662</v>
      </c>
      <c r="D43" s="640">
        <f ca="1">industrie!C22</f>
        <v>0</v>
      </c>
      <c r="E43" s="640">
        <f>industrie!D22</f>
        <v>94.441434912000005</v>
      </c>
      <c r="F43" s="640">
        <f>industrie!E22</f>
        <v>63.343523330300933</v>
      </c>
      <c r="G43" s="640">
        <f>industrie!F22</f>
        <v>795.35231398453834</v>
      </c>
      <c r="H43" s="640">
        <f>industrie!G22</f>
        <v>0</v>
      </c>
      <c r="I43" s="640">
        <f>industrie!H22</f>
        <v>0</v>
      </c>
      <c r="J43" s="640">
        <f>industrie!I22</f>
        <v>0</v>
      </c>
      <c r="K43" s="640">
        <f>industrie!J22</f>
        <v>0.29948487913779859</v>
      </c>
      <c r="L43" s="640">
        <f>industrie!K22</f>
        <v>0</v>
      </c>
      <c r="M43" s="640">
        <f>industrie!L22</f>
        <v>0</v>
      </c>
      <c r="N43" s="640">
        <f>industrie!M22</f>
        <v>0</v>
      </c>
      <c r="O43" s="640">
        <f>industrie!N22</f>
        <v>0</v>
      </c>
      <c r="P43" s="640">
        <f>industrie!O22</f>
        <v>0</v>
      </c>
      <c r="Q43" s="717">
        <f>industrie!P22</f>
        <v>0</v>
      </c>
      <c r="R43" s="794">
        <f t="shared" ca="1" si="4"/>
        <v>1256.5573140215236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2900.4287690715078</v>
      </c>
      <c r="D46" s="675">
        <f t="shared" ref="D46:Q46" ca="1" si="5">SUM(D39:D45)</f>
        <v>0</v>
      </c>
      <c r="E46" s="675">
        <f t="shared" ca="1" si="5"/>
        <v>1851.6998959360003</v>
      </c>
      <c r="F46" s="675">
        <f t="shared" si="5"/>
        <v>335.90482634486887</v>
      </c>
      <c r="G46" s="675">
        <f t="shared" ca="1" si="5"/>
        <v>10351.93813507664</v>
      </c>
      <c r="H46" s="675">
        <f t="shared" si="5"/>
        <v>0</v>
      </c>
      <c r="I46" s="675">
        <f t="shared" si="5"/>
        <v>0</v>
      </c>
      <c r="J46" s="675">
        <f t="shared" si="5"/>
        <v>0</v>
      </c>
      <c r="K46" s="675">
        <f t="shared" si="5"/>
        <v>235.26012480835323</v>
      </c>
      <c r="L46" s="675">
        <f t="shared" si="5"/>
        <v>0</v>
      </c>
      <c r="M46" s="675">
        <f t="shared" ca="1" si="5"/>
        <v>0</v>
      </c>
      <c r="N46" s="675">
        <f t="shared" si="5"/>
        <v>0</v>
      </c>
      <c r="O46" s="675">
        <f t="shared" ca="1" si="5"/>
        <v>0</v>
      </c>
      <c r="P46" s="675">
        <f t="shared" si="5"/>
        <v>0</v>
      </c>
      <c r="Q46" s="675">
        <f t="shared" si="5"/>
        <v>0</v>
      </c>
      <c r="R46" s="675">
        <f ca="1">SUM(R39:R45)</f>
        <v>15675.231751237368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0.69781790508448316</v>
      </c>
      <c r="D49" s="640">
        <f ca="1">transport!C58</f>
        <v>0</v>
      </c>
      <c r="E49" s="640">
        <f>transport!D58</f>
        <v>0</v>
      </c>
      <c r="F49" s="640">
        <f>transport!E58</f>
        <v>0</v>
      </c>
      <c r="G49" s="640">
        <f>transport!F58</f>
        <v>0</v>
      </c>
      <c r="H49" s="640">
        <f>transport!G58</f>
        <v>308.06030773119113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308.75812563627562</v>
      </c>
    </row>
    <row r="50" spans="1:18">
      <c r="A50" s="770" t="s">
        <v>296</v>
      </c>
      <c r="B50" s="780"/>
      <c r="C50" s="646">
        <f ca="1">transport!B18</f>
        <v>1.7685605398075321</v>
      </c>
      <c r="D50" s="646">
        <f>transport!C18</f>
        <v>0</v>
      </c>
      <c r="E50" s="646">
        <f>transport!D18</f>
        <v>2.6933941212357553</v>
      </c>
      <c r="F50" s="646">
        <f>transport!E18</f>
        <v>123.01996990737936</v>
      </c>
      <c r="G50" s="646">
        <f>transport!F18</f>
        <v>0</v>
      </c>
      <c r="H50" s="646">
        <f>transport!G18</f>
        <v>40795.850556311576</v>
      </c>
      <c r="I50" s="646">
        <f>transport!H18</f>
        <v>6265.1768035871028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47188.509284467102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2.4663784448920154</v>
      </c>
      <c r="D52" s="675">
        <f t="shared" ref="D52:Q52" ca="1" si="6">SUM(D48:D51)</f>
        <v>0</v>
      </c>
      <c r="E52" s="675">
        <f t="shared" si="6"/>
        <v>2.6933941212357553</v>
      </c>
      <c r="F52" s="675">
        <f t="shared" si="6"/>
        <v>123.01996990737936</v>
      </c>
      <c r="G52" s="675">
        <f t="shared" si="6"/>
        <v>0</v>
      </c>
      <c r="H52" s="675">
        <f t="shared" si="6"/>
        <v>41103.910864042766</v>
      </c>
      <c r="I52" s="675">
        <f t="shared" si="6"/>
        <v>6265.1768035871028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47497.267410103377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352.20482786837005</v>
      </c>
      <c r="D54" s="646">
        <f ca="1">+landbouw!C12</f>
        <v>0</v>
      </c>
      <c r="E54" s="646">
        <f>+landbouw!D12</f>
        <v>16.283024868000002</v>
      </c>
      <c r="F54" s="646">
        <f>+landbouw!E12</f>
        <v>14.102224597614894</v>
      </c>
      <c r="G54" s="646">
        <f>+landbouw!F12</f>
        <v>2823.0387461640207</v>
      </c>
      <c r="H54" s="646">
        <f>+landbouw!G12</f>
        <v>0</v>
      </c>
      <c r="I54" s="646">
        <f>+landbouw!H12</f>
        <v>0</v>
      </c>
      <c r="J54" s="646">
        <f>+landbouw!I12</f>
        <v>0</v>
      </c>
      <c r="K54" s="646">
        <f>+landbouw!J12</f>
        <v>121.47268406581419</v>
      </c>
      <c r="L54" s="646">
        <f>+landbouw!K12</f>
        <v>0</v>
      </c>
      <c r="M54" s="646">
        <f>+landbouw!L12</f>
        <v>0</v>
      </c>
      <c r="N54" s="646">
        <f>+landbouw!M12</f>
        <v>0</v>
      </c>
      <c r="O54" s="646">
        <f>+landbouw!N12</f>
        <v>0</v>
      </c>
      <c r="P54" s="646">
        <f>+landbouw!O12</f>
        <v>0</v>
      </c>
      <c r="Q54" s="647">
        <f>+landbouw!P12</f>
        <v>0</v>
      </c>
      <c r="R54" s="674">
        <f ca="1">SUM(C54:Q54)</f>
        <v>3327.1015075638197</v>
      </c>
    </row>
    <row r="55" spans="1:18" ht="15" thickBot="1">
      <c r="A55" s="770" t="s">
        <v>806</v>
      </c>
      <c r="B55" s="780"/>
      <c r="C55" s="646">
        <f ca="1">C25*'EF ele_warmte'!B12</f>
        <v>26.024438102638126</v>
      </c>
      <c r="D55" s="646"/>
      <c r="E55" s="646">
        <f>E25*EF_CO2_aardgas</f>
        <v>116.48370400000002</v>
      </c>
      <c r="F55" s="646"/>
      <c r="G55" s="646"/>
      <c r="H55" s="646"/>
      <c r="I55" s="646"/>
      <c r="J55" s="646"/>
      <c r="K55" s="646"/>
      <c r="L55" s="646"/>
      <c r="M55" s="646"/>
      <c r="N55" s="646"/>
      <c r="O55" s="646"/>
      <c r="P55" s="646"/>
      <c r="Q55" s="647"/>
      <c r="R55" s="674">
        <f ca="1">SUM(C55:Q55)</f>
        <v>142.50814210263815</v>
      </c>
    </row>
    <row r="56" spans="1:18" ht="15.75" thickBot="1">
      <c r="A56" s="768" t="s">
        <v>807</v>
      </c>
      <c r="B56" s="781"/>
      <c r="C56" s="675">
        <f ca="1">SUM(C54:C55)</f>
        <v>378.22926597100815</v>
      </c>
      <c r="D56" s="675">
        <f t="shared" ref="D56:Q56" ca="1" si="7">SUM(D54:D55)</f>
        <v>0</v>
      </c>
      <c r="E56" s="675">
        <f t="shared" si="7"/>
        <v>132.76672886800003</v>
      </c>
      <c r="F56" s="675">
        <f t="shared" si="7"/>
        <v>14.102224597614894</v>
      </c>
      <c r="G56" s="675">
        <f t="shared" si="7"/>
        <v>2823.0387461640207</v>
      </c>
      <c r="H56" s="675">
        <f t="shared" si="7"/>
        <v>0</v>
      </c>
      <c r="I56" s="675">
        <f t="shared" si="7"/>
        <v>0</v>
      </c>
      <c r="J56" s="675">
        <f t="shared" si="7"/>
        <v>0</v>
      </c>
      <c r="K56" s="675">
        <f t="shared" si="7"/>
        <v>121.47268406581419</v>
      </c>
      <c r="L56" s="675">
        <f t="shared" si="7"/>
        <v>0</v>
      </c>
      <c r="M56" s="675">
        <f t="shared" si="7"/>
        <v>0</v>
      </c>
      <c r="N56" s="675">
        <f t="shared" si="7"/>
        <v>0</v>
      </c>
      <c r="O56" s="675">
        <f t="shared" si="7"/>
        <v>0</v>
      </c>
      <c r="P56" s="675">
        <f t="shared" si="7"/>
        <v>0</v>
      </c>
      <c r="Q56" s="676">
        <f t="shared" si="7"/>
        <v>0</v>
      </c>
      <c r="R56" s="677">
        <f ca="1">SUM(R54:R55)</f>
        <v>3469.6096496664577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3281.1244134874082</v>
      </c>
      <c r="D61" s="683">
        <f t="shared" ref="D61:Q61" ca="1" si="8">D46+D52+D56</f>
        <v>0</v>
      </c>
      <c r="E61" s="683">
        <f t="shared" ca="1" si="8"/>
        <v>1987.160018925236</v>
      </c>
      <c r="F61" s="683">
        <f t="shared" si="8"/>
        <v>473.02702084986316</v>
      </c>
      <c r="G61" s="683">
        <f t="shared" ca="1" si="8"/>
        <v>13174.97688124066</v>
      </c>
      <c r="H61" s="683">
        <f t="shared" si="8"/>
        <v>41103.910864042766</v>
      </c>
      <c r="I61" s="683">
        <f t="shared" si="8"/>
        <v>6265.1768035871028</v>
      </c>
      <c r="J61" s="683">
        <f t="shared" si="8"/>
        <v>0</v>
      </c>
      <c r="K61" s="683">
        <f t="shared" si="8"/>
        <v>356.7328088741674</v>
      </c>
      <c r="L61" s="683">
        <f t="shared" si="8"/>
        <v>0</v>
      </c>
      <c r="M61" s="683">
        <f t="shared" ca="1" si="8"/>
        <v>0</v>
      </c>
      <c r="N61" s="683">
        <f t="shared" si="8"/>
        <v>0</v>
      </c>
      <c r="O61" s="683">
        <f t="shared" ca="1" si="8"/>
        <v>0</v>
      </c>
      <c r="P61" s="683">
        <f t="shared" si="8"/>
        <v>0</v>
      </c>
      <c r="Q61" s="683">
        <f t="shared" si="8"/>
        <v>0</v>
      </c>
      <c r="R61" s="683">
        <f ca="1">R46+R52+R56</f>
        <v>66642.108811007201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0.11772248153328929</v>
      </c>
      <c r="D63" s="726">
        <f t="shared" ca="1" si="9"/>
        <v>0</v>
      </c>
      <c r="E63" s="946">
        <f t="shared" ca="1" si="9"/>
        <v>0.20200000000000001</v>
      </c>
      <c r="F63" s="726">
        <f t="shared" si="9"/>
        <v>0.22700000000000001</v>
      </c>
      <c r="G63" s="726">
        <f t="shared" ca="1" si="9"/>
        <v>0.26699999999999996</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8464.710943</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4560.2614227895483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13024.972365789548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11720.86438352095</v>
      </c>
      <c r="C4" s="448">
        <f>huishoudens!C8</f>
        <v>0</v>
      </c>
      <c r="D4" s="448">
        <f>huishoudens!D8</f>
        <v>7093.6617400000005</v>
      </c>
      <c r="E4" s="448">
        <f>huishoudens!E8</f>
        <v>1125.8173680851417</v>
      </c>
      <c r="F4" s="448">
        <f>huishoudens!F8</f>
        <v>34501.205482551828</v>
      </c>
      <c r="G4" s="448">
        <f>huishoudens!G8</f>
        <v>0</v>
      </c>
      <c r="H4" s="448">
        <f>huishoudens!H8</f>
        <v>0</v>
      </c>
      <c r="I4" s="448">
        <f>huishoudens!I8</f>
        <v>0</v>
      </c>
      <c r="J4" s="448">
        <f>huishoudens!J8</f>
        <v>653.38413392285111</v>
      </c>
      <c r="K4" s="448">
        <f>huishoudens!K8</f>
        <v>0</v>
      </c>
      <c r="L4" s="448">
        <f>huishoudens!L8</f>
        <v>0</v>
      </c>
      <c r="M4" s="448">
        <f>huishoudens!M8</f>
        <v>0</v>
      </c>
      <c r="N4" s="448">
        <f>huishoudens!N8</f>
        <v>4292.0839699231919</v>
      </c>
      <c r="O4" s="448">
        <f>huishoudens!O8</f>
        <v>100.05333333333334</v>
      </c>
      <c r="P4" s="449">
        <f>huishoudens!P8</f>
        <v>476.66666666666663</v>
      </c>
      <c r="Q4" s="450">
        <f>SUM(B4:P4)</f>
        <v>59963.737078003971</v>
      </c>
    </row>
    <row r="5" spans="1:17">
      <c r="A5" s="447" t="s">
        <v>149</v>
      </c>
      <c r="B5" s="448">
        <f ca="1">tertiair!B16</f>
        <v>9846.5500000000011</v>
      </c>
      <c r="C5" s="448">
        <f ca="1">tertiair!C16</f>
        <v>0</v>
      </c>
      <c r="D5" s="448">
        <f ca="1">tertiair!D16</f>
        <v>1605.6375720000001</v>
      </c>
      <c r="E5" s="448">
        <f>tertiair!E16</f>
        <v>74.893217882118066</v>
      </c>
      <c r="F5" s="448">
        <f ca="1">tertiair!F16</f>
        <v>1291.2507762200842</v>
      </c>
      <c r="G5" s="448">
        <f>tertiair!G16</f>
        <v>0</v>
      </c>
      <c r="H5" s="448">
        <f>tertiair!H16</f>
        <v>0</v>
      </c>
      <c r="I5" s="448">
        <f>tertiair!I16</f>
        <v>0</v>
      </c>
      <c r="J5" s="448">
        <f>tertiair!J16</f>
        <v>10.346487346119108</v>
      </c>
      <c r="K5" s="448">
        <f>tertiair!K16</f>
        <v>0</v>
      </c>
      <c r="L5" s="448">
        <f ca="1">tertiair!L16</f>
        <v>0</v>
      </c>
      <c r="M5" s="448">
        <f>tertiair!M16</f>
        <v>0</v>
      </c>
      <c r="N5" s="448">
        <f ca="1">tertiair!N16</f>
        <v>233.73144138103524</v>
      </c>
      <c r="O5" s="448">
        <f>tertiair!O16</f>
        <v>1.5633333333333335</v>
      </c>
      <c r="P5" s="449">
        <f>tertiair!P16</f>
        <v>0</v>
      </c>
      <c r="Q5" s="447">
        <f t="shared" ref="Q5:Q14" ca="1" si="0">SUM(B5:P5)</f>
        <v>13063.97282816269</v>
      </c>
    </row>
    <row r="6" spans="1:17">
      <c r="A6" s="447" t="s">
        <v>187</v>
      </c>
      <c r="B6" s="448">
        <f>'openbare verlichting'!B8</f>
        <v>495.56099999999998</v>
      </c>
      <c r="C6" s="448"/>
      <c r="D6" s="448"/>
      <c r="E6" s="448"/>
      <c r="F6" s="448"/>
      <c r="G6" s="448"/>
      <c r="H6" s="448"/>
      <c r="I6" s="448"/>
      <c r="J6" s="448"/>
      <c r="K6" s="448"/>
      <c r="L6" s="448"/>
      <c r="M6" s="448"/>
      <c r="N6" s="448"/>
      <c r="O6" s="448"/>
      <c r="P6" s="449"/>
      <c r="Q6" s="447">
        <f t="shared" si="0"/>
        <v>495.56099999999998</v>
      </c>
    </row>
    <row r="7" spans="1:17">
      <c r="A7" s="447" t="s">
        <v>105</v>
      </c>
      <c r="B7" s="448">
        <f>landbouw!B8</f>
        <v>2991.8229999999999</v>
      </c>
      <c r="C7" s="448">
        <f>landbouw!C8</f>
        <v>0</v>
      </c>
      <c r="D7" s="448">
        <f>landbouw!D8</f>
        <v>80.609034000000008</v>
      </c>
      <c r="E7" s="448">
        <f>landbouw!E8</f>
        <v>62.124337434426842</v>
      </c>
      <c r="F7" s="448">
        <f>landbouw!F8</f>
        <v>10573.178824584347</v>
      </c>
      <c r="G7" s="448">
        <f>landbouw!G8</f>
        <v>0</v>
      </c>
      <c r="H7" s="448">
        <f>landbouw!H8</f>
        <v>0</v>
      </c>
      <c r="I7" s="448">
        <f>landbouw!I8</f>
        <v>0</v>
      </c>
      <c r="J7" s="448">
        <f>landbouw!J8</f>
        <v>343.14317532715876</v>
      </c>
      <c r="K7" s="448">
        <f>landbouw!K8</f>
        <v>0</v>
      </c>
      <c r="L7" s="448">
        <f>landbouw!L8</f>
        <v>0</v>
      </c>
      <c r="M7" s="448">
        <f>landbouw!M8</f>
        <v>0</v>
      </c>
      <c r="N7" s="448">
        <f>landbouw!N8</f>
        <v>0</v>
      </c>
      <c r="O7" s="448">
        <f>landbouw!O8</f>
        <v>0</v>
      </c>
      <c r="P7" s="449">
        <f>landbouw!P8</f>
        <v>0</v>
      </c>
      <c r="Q7" s="447">
        <f t="shared" si="0"/>
        <v>14050.878371345932</v>
      </c>
    </row>
    <row r="8" spans="1:17">
      <c r="A8" s="447" t="s">
        <v>614</v>
      </c>
      <c r="B8" s="448">
        <f>industrie!B18</f>
        <v>2574.8739999999998</v>
      </c>
      <c r="C8" s="448">
        <f>industrie!C18</f>
        <v>0</v>
      </c>
      <c r="D8" s="448">
        <f>industrie!D18</f>
        <v>467.531856</v>
      </c>
      <c r="E8" s="448">
        <f>industrie!E18</f>
        <v>279.046358283264</v>
      </c>
      <c r="F8" s="448">
        <f>industrie!F18</f>
        <v>2978.8476179196191</v>
      </c>
      <c r="G8" s="448">
        <f>industrie!G18</f>
        <v>0</v>
      </c>
      <c r="H8" s="448">
        <f>industrie!H18</f>
        <v>0</v>
      </c>
      <c r="I8" s="448">
        <f>industrie!I18</f>
        <v>0</v>
      </c>
      <c r="J8" s="448">
        <f>industrie!J18</f>
        <v>0.84600248344010909</v>
      </c>
      <c r="K8" s="448">
        <f>industrie!K18</f>
        <v>0</v>
      </c>
      <c r="L8" s="448">
        <f>industrie!L18</f>
        <v>0</v>
      </c>
      <c r="M8" s="448">
        <f>industrie!M18</f>
        <v>0</v>
      </c>
      <c r="N8" s="448">
        <f>industrie!N18</f>
        <v>564.83467984914535</v>
      </c>
      <c r="O8" s="448">
        <f>industrie!O18</f>
        <v>0</v>
      </c>
      <c r="P8" s="449">
        <f>industrie!P18</f>
        <v>0</v>
      </c>
      <c r="Q8" s="447">
        <f t="shared" si="0"/>
        <v>6865.9805145354694</v>
      </c>
    </row>
    <row r="9" spans="1:17" s="453" customFormat="1">
      <c r="A9" s="451" t="s">
        <v>555</v>
      </c>
      <c r="B9" s="452">
        <f>transport!B14</f>
        <v>15.023133362232286</v>
      </c>
      <c r="C9" s="452">
        <f>transport!C14</f>
        <v>0</v>
      </c>
      <c r="D9" s="452">
        <f>transport!D14</f>
        <v>13.333634263543342</v>
      </c>
      <c r="E9" s="452">
        <f>transport!E14</f>
        <v>541.93819342457869</v>
      </c>
      <c r="F9" s="452">
        <f>transport!F14</f>
        <v>0</v>
      </c>
      <c r="G9" s="452">
        <f>transport!G14</f>
        <v>152793.44777644784</v>
      </c>
      <c r="H9" s="452">
        <f>transport!H14</f>
        <v>25161.352624847801</v>
      </c>
      <c r="I9" s="452">
        <f>transport!I14</f>
        <v>0</v>
      </c>
      <c r="J9" s="452">
        <f>transport!J14</f>
        <v>0</v>
      </c>
      <c r="K9" s="452">
        <f>transport!K14</f>
        <v>0</v>
      </c>
      <c r="L9" s="452">
        <f>transport!L14</f>
        <v>0</v>
      </c>
      <c r="M9" s="452">
        <f>transport!M14</f>
        <v>8045.7470075890587</v>
      </c>
      <c r="N9" s="452">
        <f>transport!N14</f>
        <v>0</v>
      </c>
      <c r="O9" s="452">
        <f>transport!O14</f>
        <v>0</v>
      </c>
      <c r="P9" s="452">
        <f>transport!P14</f>
        <v>0</v>
      </c>
      <c r="Q9" s="451">
        <f>SUM(B9:P9)</f>
        <v>186570.84236993504</v>
      </c>
    </row>
    <row r="10" spans="1:17">
      <c r="A10" s="447" t="s">
        <v>545</v>
      </c>
      <c r="B10" s="448">
        <f>transport!B54</f>
        <v>5.9276520168083273</v>
      </c>
      <c r="C10" s="448">
        <f>transport!C54</f>
        <v>0</v>
      </c>
      <c r="D10" s="448">
        <f>transport!D54</f>
        <v>0</v>
      </c>
      <c r="E10" s="448">
        <f>transport!E54</f>
        <v>0</v>
      </c>
      <c r="F10" s="448">
        <f>transport!F54</f>
        <v>0</v>
      </c>
      <c r="G10" s="448">
        <f>transport!G54</f>
        <v>1153.7839240868582</v>
      </c>
      <c r="H10" s="448">
        <f>transport!H54</f>
        <v>0</v>
      </c>
      <c r="I10" s="448">
        <f>transport!I54</f>
        <v>0</v>
      </c>
      <c r="J10" s="448">
        <f>transport!J54</f>
        <v>0</v>
      </c>
      <c r="K10" s="448">
        <f>transport!K54</f>
        <v>0</v>
      </c>
      <c r="L10" s="448">
        <f>transport!L54</f>
        <v>0</v>
      </c>
      <c r="M10" s="448">
        <f>transport!M54</f>
        <v>51.736640640675297</v>
      </c>
      <c r="N10" s="448">
        <f>transport!N54</f>
        <v>0</v>
      </c>
      <c r="O10" s="448">
        <f>transport!O54</f>
        <v>0</v>
      </c>
      <c r="P10" s="449">
        <f>transport!P54</f>
        <v>0</v>
      </c>
      <c r="Q10" s="447">
        <f t="shared" si="0"/>
        <v>1211.4482167443416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221.066</v>
      </c>
      <c r="C14" s="455"/>
      <c r="D14" s="455">
        <f>'SEAP template'!E25</f>
        <v>576.65200000000004</v>
      </c>
      <c r="E14" s="455"/>
      <c r="F14" s="455"/>
      <c r="G14" s="455"/>
      <c r="H14" s="455"/>
      <c r="I14" s="455"/>
      <c r="J14" s="455"/>
      <c r="K14" s="455"/>
      <c r="L14" s="455"/>
      <c r="M14" s="455"/>
      <c r="N14" s="455"/>
      <c r="O14" s="455"/>
      <c r="P14" s="456"/>
      <c r="Q14" s="447">
        <f t="shared" si="0"/>
        <v>797.71800000000007</v>
      </c>
    </row>
    <row r="15" spans="1:17" s="460" customFormat="1">
      <c r="A15" s="457" t="s">
        <v>549</v>
      </c>
      <c r="B15" s="458">
        <f ca="1">SUM(B4:B14)</f>
        <v>27871.689168899993</v>
      </c>
      <c r="C15" s="458">
        <f t="shared" ref="C15:Q15" ca="1" si="1">SUM(C4:C14)</f>
        <v>0</v>
      </c>
      <c r="D15" s="458">
        <f t="shared" ca="1" si="1"/>
        <v>9837.4258362635428</v>
      </c>
      <c r="E15" s="458">
        <f t="shared" si="1"/>
        <v>2083.8194751095293</v>
      </c>
      <c r="F15" s="458">
        <f t="shared" ca="1" si="1"/>
        <v>49344.482701275883</v>
      </c>
      <c r="G15" s="458">
        <f t="shared" si="1"/>
        <v>153947.2317005347</v>
      </c>
      <c r="H15" s="458">
        <f t="shared" si="1"/>
        <v>25161.352624847801</v>
      </c>
      <c r="I15" s="458">
        <f t="shared" si="1"/>
        <v>0</v>
      </c>
      <c r="J15" s="458">
        <f t="shared" si="1"/>
        <v>1007.7197990795692</v>
      </c>
      <c r="K15" s="458">
        <f t="shared" si="1"/>
        <v>0</v>
      </c>
      <c r="L15" s="458">
        <f t="shared" ca="1" si="1"/>
        <v>0</v>
      </c>
      <c r="M15" s="458">
        <f t="shared" si="1"/>
        <v>8097.4836482297342</v>
      </c>
      <c r="N15" s="458">
        <f t="shared" ca="1" si="1"/>
        <v>5090.6500911533731</v>
      </c>
      <c r="O15" s="458">
        <f t="shared" si="1"/>
        <v>101.61666666666667</v>
      </c>
      <c r="P15" s="458">
        <f t="shared" si="1"/>
        <v>476.66666666666663</v>
      </c>
      <c r="Q15" s="458">
        <f t="shared" ca="1" si="1"/>
        <v>283020.13837872748</v>
      </c>
    </row>
    <row r="17" spans="1:17">
      <c r="A17" s="461" t="s">
        <v>550</v>
      </c>
      <c r="B17" s="731">
        <f ca="1">huishoudens!B10</f>
        <v>0.11772248153328926</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1379.8092409432329</v>
      </c>
      <c r="C22" s="448">
        <f t="shared" ref="C22:C32" ca="1" si="3">C4*$C$17</f>
        <v>0</v>
      </c>
      <c r="D22" s="448">
        <f t="shared" ref="D22:D32" si="4">D4*$D$17</f>
        <v>1432.9196714800003</v>
      </c>
      <c r="E22" s="448">
        <f t="shared" ref="E22:E32" si="5">E4*$E$17</f>
        <v>255.56054255532717</v>
      </c>
      <c r="F22" s="448">
        <f t="shared" ref="F22:F32" si="6">F4*$F$17</f>
        <v>9211.8218638413382</v>
      </c>
      <c r="G22" s="448">
        <f t="shared" ref="G22:G32" si="7">G4*$G$17</f>
        <v>0</v>
      </c>
      <c r="H22" s="448">
        <f t="shared" ref="H22:H32" si="8">H4*$H$17</f>
        <v>0</v>
      </c>
      <c r="I22" s="448">
        <f t="shared" ref="I22:I32" si="9">I4*$I$17</f>
        <v>0</v>
      </c>
      <c r="J22" s="448">
        <f t="shared" ref="J22:J32" si="10">J4*$J$17</f>
        <v>231.29798340868928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12511.409302228587</v>
      </c>
    </row>
    <row r="23" spans="1:17">
      <c r="A23" s="447" t="s">
        <v>149</v>
      </c>
      <c r="B23" s="448">
        <f t="shared" ca="1" si="2"/>
        <v>1159.1603005416096</v>
      </c>
      <c r="C23" s="448">
        <f t="shared" ca="1" si="3"/>
        <v>0</v>
      </c>
      <c r="D23" s="448">
        <f t="shared" ca="1" si="4"/>
        <v>324.33878954400006</v>
      </c>
      <c r="E23" s="448">
        <f t="shared" si="5"/>
        <v>17.000760459240801</v>
      </c>
      <c r="F23" s="448">
        <f t="shared" ca="1" si="6"/>
        <v>344.76395725076247</v>
      </c>
      <c r="G23" s="448">
        <f t="shared" si="7"/>
        <v>0</v>
      </c>
      <c r="H23" s="448">
        <f t="shared" si="8"/>
        <v>0</v>
      </c>
      <c r="I23" s="448">
        <f t="shared" si="9"/>
        <v>0</v>
      </c>
      <c r="J23" s="448">
        <f t="shared" si="10"/>
        <v>3.6626565205261641</v>
      </c>
      <c r="K23" s="448">
        <f t="shared" si="11"/>
        <v>0</v>
      </c>
      <c r="L23" s="448">
        <f t="shared" ca="1" si="12"/>
        <v>0</v>
      </c>
      <c r="M23" s="448">
        <f t="shared" si="13"/>
        <v>0</v>
      </c>
      <c r="N23" s="448">
        <f t="shared" ca="1" si="14"/>
        <v>0</v>
      </c>
      <c r="O23" s="448">
        <f t="shared" si="15"/>
        <v>0</v>
      </c>
      <c r="P23" s="449">
        <f t="shared" si="16"/>
        <v>0</v>
      </c>
      <c r="Q23" s="447">
        <f t="shared" ref="Q23:Q32" ca="1" si="17">SUM(B23:P23)</f>
        <v>1848.9264643161391</v>
      </c>
    </row>
    <row r="24" spans="1:17">
      <c r="A24" s="447" t="s">
        <v>187</v>
      </c>
      <c r="B24" s="448">
        <f t="shared" ca="1" si="2"/>
        <v>58.338670671118358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58.338670671118358</v>
      </c>
    </row>
    <row r="25" spans="1:17">
      <c r="A25" s="447" t="s">
        <v>105</v>
      </c>
      <c r="B25" s="448">
        <f t="shared" ca="1" si="2"/>
        <v>352.20482786837005</v>
      </c>
      <c r="C25" s="448">
        <f t="shared" ca="1" si="3"/>
        <v>0</v>
      </c>
      <c r="D25" s="448">
        <f t="shared" si="4"/>
        <v>16.283024868000002</v>
      </c>
      <c r="E25" s="448">
        <f t="shared" si="5"/>
        <v>14.102224597614894</v>
      </c>
      <c r="F25" s="448">
        <f t="shared" si="6"/>
        <v>2823.0387461640207</v>
      </c>
      <c r="G25" s="448">
        <f t="shared" si="7"/>
        <v>0</v>
      </c>
      <c r="H25" s="448">
        <f t="shared" si="8"/>
        <v>0</v>
      </c>
      <c r="I25" s="448">
        <f t="shared" si="9"/>
        <v>0</v>
      </c>
      <c r="J25" s="448">
        <f t="shared" si="10"/>
        <v>121.47268406581419</v>
      </c>
      <c r="K25" s="448">
        <f t="shared" si="11"/>
        <v>0</v>
      </c>
      <c r="L25" s="448">
        <f t="shared" si="12"/>
        <v>0</v>
      </c>
      <c r="M25" s="448">
        <f t="shared" si="13"/>
        <v>0</v>
      </c>
      <c r="N25" s="448">
        <f t="shared" si="14"/>
        <v>0</v>
      </c>
      <c r="O25" s="448">
        <f t="shared" si="15"/>
        <v>0</v>
      </c>
      <c r="P25" s="449">
        <f t="shared" si="16"/>
        <v>0</v>
      </c>
      <c r="Q25" s="447">
        <f t="shared" ca="1" si="17"/>
        <v>3327.1015075638197</v>
      </c>
    </row>
    <row r="26" spans="1:17">
      <c r="A26" s="447" t="s">
        <v>614</v>
      </c>
      <c r="B26" s="448">
        <f t="shared" ca="1" si="2"/>
        <v>303.12055691554662</v>
      </c>
      <c r="C26" s="448">
        <f t="shared" ca="1" si="3"/>
        <v>0</v>
      </c>
      <c r="D26" s="448">
        <f t="shared" si="4"/>
        <v>94.441434912000005</v>
      </c>
      <c r="E26" s="448">
        <f t="shared" si="5"/>
        <v>63.343523330300933</v>
      </c>
      <c r="F26" s="448">
        <f t="shared" si="6"/>
        <v>795.35231398453834</v>
      </c>
      <c r="G26" s="448">
        <f t="shared" si="7"/>
        <v>0</v>
      </c>
      <c r="H26" s="448">
        <f t="shared" si="8"/>
        <v>0</v>
      </c>
      <c r="I26" s="448">
        <f t="shared" si="9"/>
        <v>0</v>
      </c>
      <c r="J26" s="448">
        <f t="shared" si="10"/>
        <v>0.29948487913779859</v>
      </c>
      <c r="K26" s="448">
        <f t="shared" si="11"/>
        <v>0</v>
      </c>
      <c r="L26" s="448">
        <f t="shared" si="12"/>
        <v>0</v>
      </c>
      <c r="M26" s="448">
        <f t="shared" si="13"/>
        <v>0</v>
      </c>
      <c r="N26" s="448">
        <f t="shared" si="14"/>
        <v>0</v>
      </c>
      <c r="O26" s="448">
        <f t="shared" si="15"/>
        <v>0</v>
      </c>
      <c r="P26" s="449">
        <f t="shared" si="16"/>
        <v>0</v>
      </c>
      <c r="Q26" s="447">
        <f t="shared" ca="1" si="17"/>
        <v>1256.5573140215236</v>
      </c>
    </row>
    <row r="27" spans="1:17" s="453" customFormat="1">
      <c r="A27" s="451" t="s">
        <v>555</v>
      </c>
      <c r="B27" s="725">
        <f t="shared" ca="1" si="2"/>
        <v>1.7685605398075321</v>
      </c>
      <c r="C27" s="452">
        <f t="shared" ca="1" si="3"/>
        <v>0</v>
      </c>
      <c r="D27" s="452">
        <f t="shared" si="4"/>
        <v>2.6933941212357553</v>
      </c>
      <c r="E27" s="452">
        <f t="shared" si="5"/>
        <v>123.01996990737936</v>
      </c>
      <c r="F27" s="452">
        <f t="shared" si="6"/>
        <v>0</v>
      </c>
      <c r="G27" s="452">
        <f t="shared" si="7"/>
        <v>40795.850556311576</v>
      </c>
      <c r="H27" s="452">
        <f t="shared" si="8"/>
        <v>6265.1768035871028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47188.509284467102</v>
      </c>
    </row>
    <row r="28" spans="1:17">
      <c r="A28" s="447" t="s">
        <v>545</v>
      </c>
      <c r="B28" s="448">
        <f t="shared" ca="1" si="2"/>
        <v>0.69781790508448316</v>
      </c>
      <c r="C28" s="448">
        <f t="shared" ca="1" si="3"/>
        <v>0</v>
      </c>
      <c r="D28" s="448">
        <f t="shared" si="4"/>
        <v>0</v>
      </c>
      <c r="E28" s="448">
        <f t="shared" si="5"/>
        <v>0</v>
      </c>
      <c r="F28" s="448">
        <f t="shared" si="6"/>
        <v>0</v>
      </c>
      <c r="G28" s="448">
        <f t="shared" si="7"/>
        <v>308.06030773119113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308.75812563627562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26.024438102638126</v>
      </c>
      <c r="C32" s="448">
        <f t="shared" ca="1" si="3"/>
        <v>0</v>
      </c>
      <c r="D32" s="448">
        <f t="shared" si="4"/>
        <v>116.48370400000002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142.50814210263815</v>
      </c>
    </row>
    <row r="33" spans="1:17" s="460" customFormat="1">
      <c r="A33" s="457" t="s">
        <v>549</v>
      </c>
      <c r="B33" s="458">
        <f ca="1">SUM(B22:B32)</f>
        <v>3281.1244134874078</v>
      </c>
      <c r="C33" s="458">
        <f t="shared" ref="C33:Q33" ca="1" si="18">SUM(C22:C32)</f>
        <v>0</v>
      </c>
      <c r="D33" s="458">
        <f t="shared" ca="1" si="18"/>
        <v>1987.160018925236</v>
      </c>
      <c r="E33" s="458">
        <f t="shared" si="18"/>
        <v>473.02702084986311</v>
      </c>
      <c r="F33" s="458">
        <f t="shared" ca="1" si="18"/>
        <v>13174.97688124066</v>
      </c>
      <c r="G33" s="458">
        <f t="shared" si="18"/>
        <v>41103.910864042766</v>
      </c>
      <c r="H33" s="458">
        <f t="shared" si="18"/>
        <v>6265.1768035871028</v>
      </c>
      <c r="I33" s="458">
        <f t="shared" si="18"/>
        <v>0</v>
      </c>
      <c r="J33" s="458">
        <f t="shared" si="18"/>
        <v>356.73280887416746</v>
      </c>
      <c r="K33" s="458">
        <f t="shared" si="18"/>
        <v>0</v>
      </c>
      <c r="L33" s="458">
        <f t="shared" ca="1" si="18"/>
        <v>0</v>
      </c>
      <c r="M33" s="458">
        <f t="shared" si="18"/>
        <v>0</v>
      </c>
      <c r="N33" s="458">
        <f t="shared" ca="1" si="18"/>
        <v>0</v>
      </c>
      <c r="O33" s="458">
        <f t="shared" si="18"/>
        <v>0</v>
      </c>
      <c r="P33" s="458">
        <f t="shared" si="18"/>
        <v>0</v>
      </c>
      <c r="Q33" s="458">
        <f t="shared" ca="1" si="18"/>
        <v>66642.108811007201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8464.710943</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4560.2614227895483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13024.972365789548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0.11772248153328926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0.11772248153328926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2022-07-26T11:58:35Z</dcterms:modified>
</cp:coreProperties>
</file>