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6BCAFB3F-02C0-4EC2-AFF2-BDF39CAF937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<sst xmlns="http://schemas.openxmlformats.org/spreadsheetml/2006/main" count="2451" uniqueCount="911">
  <si>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</si>
  <si>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</si>
  <si>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</si>
  <si>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</si>
  <si>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</si>
  <si>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</si>
  <si>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</si>
  <si>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</si>
  <si>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</si>
  <si>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</si>
  <si>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</si>
  <si>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</si>
  <si>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</si>
  <si>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</si>
  <si>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</si>
  <si>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</si>
  <si>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</si>
  <si>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</si>
  <si>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</si>
  <si>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</si>
  <si>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</si>
  <si>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</si>
  <si>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</si>
  <si>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</si>
  <si>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</si>
  <si>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</si>
  <si>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</si>
  <si>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</si>
  <si>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</si>
  <si>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</si>
  <si>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</si>
  <si>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</si>
  <si>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</si>
  <si>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</si>
  <si>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</si>
  <si>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</si>
  <si>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</si>
  <si>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</si>
  <si>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</si>
  <si>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</si>
  <si>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</si>
  <si>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</si>
  <si>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</si>
  <si>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</si>
  <si>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</si>
  <si>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</si>
  <si>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</si>
  <si>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</si>
  <si>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</si>
  <si>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</si>
  <si>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</si>
  <si>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</si>
  <si>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</si>
  <si>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</si>
  <si>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</si>
  <si>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</si>
  <si>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</si>
  <si>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</si>
  <si>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</si>
  <si>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</si>
  <si>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</si>
  <si>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</si>
  <si>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</si>
  <si>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</si>
  <si>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</si>
  <si>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</si>
  <si>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</si>
  <si>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</si>
  <si>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</si>
  <si>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</si>
  <si>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</si>
  <si>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</si>
  <si>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</si>
  <si>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</si>
  <si>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</si>
  <si>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</si>
  <si>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</si>
  <si>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</si>
  <si>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</si>
  <si>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</si>
  <si>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</si>
  <si>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</si>
  <si>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</si>
  <si>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</si>
  <si>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</si>
  <si>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</si>
  <si>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</si>
  <si>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</si>
  <si>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</si>
  <si>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</si>
  <si>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</si>
  <si>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</si>
  <si>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</si>
  <si>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</si>
  <si>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</si>
  <si>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</si>
  <si>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</si>
  <si>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</si>
  <si>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</si>
  <si>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</si>
  <si>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</si>
  <si>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</si>
  <si>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</si>
  <si>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</si>
  <si>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</si>
  <si>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</si>
  <si>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</si>
  <si>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</si>
  <si>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</si>
  <si>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</si>
  <si>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</si>
  <si>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</si>
  <si>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</si>
  <si>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</si>
  <si>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</si>
  <si>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</si>
  <si>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</si>
  <si>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</si>
  <si>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</si>
  <si>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</si>
  <si>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</si>
  <si>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</si>
  <si>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</si>
  <si>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</si>
  <si>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</si>
  <si>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</si>
  <si>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</si>
  <si>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</si>
  <si>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</si>
  <si>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</si>
  <si>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</si>
  <si>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</si>
  <si>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</si>
  <si>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</si>
  <si>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</si>
  <si>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</si>
  <si>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</si>
  <si>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</si>
  <si>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</si>
  <si>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</si>
  <si>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</si>
  <si>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</si>
  <si>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</si>
  <si>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</si>
  <si>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</si>
  <si>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</si>
  <si>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</si>
  <si>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</si>
  <si>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</si>
  <si>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</si>
  <si>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</si>
  <si>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</si>
  <si>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</si>
  <si>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</si>
  <si>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</si>
  <si>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</si>
  <si>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</si>
  <si>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</si>
  <si>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</si>
  <si>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</si>
  <si>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</si>
  <si>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</si>
  <si>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</si>
  <si>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</si>
  <si>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</si>
  <si>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</si>
  <si>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</si>
  <si>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</si>
  <si>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</si>
  <si>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</si>
  <si>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</si>
  <si>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</si>
  <si>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</si>
  <si>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</si>
  <si>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</si>
  <si>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</si>
  <si>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</si>
  <si>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</si>
  <si>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</si>
  <si>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</si>
  <si>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</si>
  <si>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</si>
  <si>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</si>
  <si>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</si>
  <si>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</si>
  <si>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</si>
  <si>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</si>
  <si>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</si>
  <si>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</si>
  <si>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</si>
  <si>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</si>
  <si>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</si>
  <si>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</si>
  <si>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</si>
  <si>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</si>
  <si>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</si>
  <si>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</si>
  <si>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</si>
  <si>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</si>
  <si>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</si>
  <si>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</si>
  <si>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</si>
  <si>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</si>
  <si>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</si>
  <si>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</si>
  <si>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</si>
  <si>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</si>
  <si>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</si>
  <si>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</si>
  <si>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</si>
  <si>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</si>
  <si>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</si>
  <si>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</si>
  <si>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</si>
  <si>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</si>
  <si>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</si>
  <si>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</si>
  <si>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</si>
  <si>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</si>
  <si>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</si>
  <si>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</si>
  <si>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</si>
  <si>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</si>
  <si>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</si>
  <si>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</si>
  <si>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</si>
  <si>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</si>
  <si>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</si>
  <si>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</si>
  <si>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</si>
  <si>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</si>
  <si>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</si>
  <si>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</si>
  <si>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</si>
  <si>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</si>
  <si>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</si>
  <si>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</si>
  <si>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</si>
  <si>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</si>
  <si>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</si>
  <si>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</si>
  <si>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</si>
  <si>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</si>
  <si>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</si>
  <si>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</si>
  <si>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</si>
  <si>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</si>
  <si>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</si>
  <si>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</si>
  <si>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</si>
  <si>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</si>
  <si>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</si>
  <si>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</si>
  <si>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</si>
  <si>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</si>
  <si>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</si>
  <si>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</si>
  <si>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</si>
  <si>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</si>
  <si>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</si>
  <si>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</si>
  <si>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</si>
  <si>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</si>
  <si>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</si>
  <si>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</si>
  <si>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</si>
  <si>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</si>
  <si>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</si>
  <si>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</si>
  <si>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</si>
  <si>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</si>
  <si>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</si>
  <si>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</si>
  <si>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</si>
  <si>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</si>
  <si>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</si>
  <si>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</si>
  <si>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</si>
  <si>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</si>
  <si>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</si>
  <si>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</si>
  <si>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</si>
  <si>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</si>
  <si>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</si>
  <si>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</si>
  <si>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</si>
  <si>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</si>
  <si>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</si>
  <si>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</si>
  <si>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</si>
  <si>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</si>
  <si>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</si>
  <si>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</si>
  <si>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</si>
  <si>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</si>
  <si>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</si>
  <si>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</si>
  <si>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</si>
  <si>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</si>
  <si>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</si>
  <si>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</si>
  <si>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</si>
  <si>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</si>
  <si>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</si>
  <si>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</si>
  <si>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</si>
  <si>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</si>
  <si>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</si>
  <si>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</si>
  <si>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</si>
  <si>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</si>
  <si>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</si>
  <si>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</si>
  <si>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</si>
  <si>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</si>
  <si>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</si>
  <si>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</si>
  <si>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</si>
  <si>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</si>
  <si>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</si>
  <si>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</si>
  <si>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</si>
  <si>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</si>
  <si>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</si>
  <si>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</si>
  <si>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</si>
  <si>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</si>
  <si>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</si>
  <si>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</si>
  <si>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</si>
  <si>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</si>
  <si>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</si>
  <si>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</si>
  <si>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</si>
  <si>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</si>
  <si>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</si>
  <si>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</si>
  <si>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</si>
  <si>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</si>
  <si>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</si>
  <si>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</si>
  <si>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</si>
  <si>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</si>
  <si>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</si>
  <si>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</si>
  <si>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</si>
  <si>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</si>
  <si>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</si>
  <si>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</si>
  <si>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</si>
  <si>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</si>
  <si>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</si>
  <si>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</si>
  <si>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</si>
  <si>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</si>
  <si>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</si>
  <si>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</si>
  <si>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</si>
  <si>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</si>
  <si>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</si>
  <si>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</si>
  <si>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</si>
  <si>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</si>
  <si>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</si>
  <si>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</si>
  <si>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</si>
  <si>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</si>
  <si>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</si>
  <si>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</si>
  <si>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</si>
  <si>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</si>
  <si>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</si>
  <si>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</si>
  <si>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</si>
  <si>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</si>
  <si>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</si>
  <si>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</si>
  <si>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</si>
  <si>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</si>
  <si>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</si>
  <si>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</si>
  <si>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</si>
  <si>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</si>
  <si>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</si>
  <si>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</si>
  <si>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</si>
  <si>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</si>
  <si>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</si>
  <si>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</si>
  <si>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</si>
  <si>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</si>
  <si>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</si>
  <si>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</si>
  <si>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</si>
  <si>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</si>
  <si>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</si>
  <si>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</si>
  <si>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</si>
  <si>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</si>
  <si>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</si>
  <si>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</si>
  <si>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</si>
  <si>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</si>
  <si>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</si>
  <si>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</si>
  <si>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</si>
  <si>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</si>
  <si>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</si>
  <si>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</si>
  <si>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</si>
  <si>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</si>
  <si>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</si>
  <si>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</si>
  <si>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</si>
  <si>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</si>
  <si>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</si>
  <si>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</si>
  <si>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</si>
  <si>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</si>
  <si>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</si>
  <si>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</si>
  <si>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</si>
  <si>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</si>
  <si>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</si>
  <si>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</si>
  <si>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</si>
  <si>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</si>
  <si>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</si>
  <si>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</si>
  <si>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</si>
  <si>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</si>
  <si>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</si>
  <si>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</si>
  <si>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</si>
  <si>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</si>
  <si>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</si>
  <si>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</si>
  <si>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</si>
  <si>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</si>
  <si>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</si>
  <si>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</si>
  <si>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</si>
  <si>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</si>
  <si>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</si>
  <si>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</si>
  <si>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</si>
  <si>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</si>
  <si>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</si>
  <si>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</si>
  <si>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</si>
  <si>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</si>
  <si>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</si>
  <si>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</si>
  <si>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</si>
  <si>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</si>
  <si>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</si>
  <si>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</si>
  <si>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</si>
  <si>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</si>
  <si>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</si>
  <si>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</si>
  <si>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</si>
  <si>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</si>
  <si>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</si>
  <si>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</si>
  <si>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</si>
  <si>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</si>
  <si>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</si>
  <si>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</si>
  <si>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</si>
  <si>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</si>
  <si>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</si>
  <si>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</si>
  <si>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</si>
  <si>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</si>
  <si>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</si>
  <si>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</si>
  <si>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</si>
  <si>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</si>
  <si>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</si>
  <si>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</si>
  <si>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</si>
  <si>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</si>
  <si>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</si>
  <si>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</si>
  <si>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</si>
  <si>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</si>
  <si>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</si>
  <si>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</si>
  <si>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</si>
  <si>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</si>
  <si>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</si>
  <si>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</si>
  <si>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</si>
  <si>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</si>
  <si>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</si>
  <si>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</si>
  <si>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</si>
  <si>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</si>
  <si>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</si>
  <si>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</si>
  <si>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</si>
  <si>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</si>
  <si>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</si>
  <si>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</si>
  <si>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</si>
  <si>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</si>
  <si>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</si>
  <si>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</si>
  <si>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</si>
  <si>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</si>
  <si>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</si>
  <si>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</si>
  <si>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</si>
  <si>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</si>
  <si>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</si>
  <si>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</si>
  <si>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</si>
  <si>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</si>
  <si>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</si>
  <si>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</si>
  <si>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</si>
  <si>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</si>
  <si>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</si>
  <si>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</si>
  <si>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</si>
  <si>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</si>
  <si>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</si>
  <si>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</si>
  <si>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</si>
  <si>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</si>
  <si>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</si>
  <si>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</si>
  <si>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</si>
  <si>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</si>
  <si>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</si>
  <si>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</si>
  <si>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</si>
  <si>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</si>
  <si>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</si>
  <si>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</si>
  <si>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</si>
  <si>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</si>
  <si>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</si>
  <si>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</si>
  <si>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</si>
  <si>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</si>
  <si>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</si>
  <si>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</si>
  <si>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</si>
  <si>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</si>
  <si>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</si>
  <si>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</si>
  <si>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</si>
  <si>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</si>
  <si>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</si>
  <si>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</si>
  <si>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</si>
  <si>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</si>
  <si>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</si>
  <si>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</si>
  <si>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</si>
  <si>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</si>
  <si>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</si>
  <si>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</si>
  <si>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</si>
  <si>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</si>
  <si>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</si>
  <si>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</si>
  <si>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</si>
  <si>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</si>
  <si>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</si>
  <si>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</si>
  <si>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</si>
  <si>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</si>
  <si>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</si>
  <si>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</si>
  <si>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</si>
  <si>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</si>
  <si>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</si>
  <si>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</si>
  <si>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</si>
  <si>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</si>
  <si>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</si>
  <si>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</si>
  <si>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</si>
  <si>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</si>
  <si>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</si>
  <si>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</si>
  <si>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</si>
  <si>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</si>
  <si>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</si>
  <si>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</si>
  <si>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</si>
  <si>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</si>
  <si>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</si>
  <si>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</si>
  <si>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</si>
  <si>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</si>
  <si>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</si>
  <si>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</si>
  <si>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</si>
  <si>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</si>
  <si>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</si>
  <si>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</si>
  <si>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</si>
  <si>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</si>
  <si>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</si>
  <si>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</si>
  <si>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</si>
  <si>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</si>
  <si>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</si>
  <si>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</si>
  <si>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</si>
  <si>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</si>
  <si>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</si>
  <si>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</si>
  <si>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</si>
  <si>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</si>
  <si>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</si>
  <si>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</si>
  <si>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</si>
  <si>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</si>
  <si>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</si>
  <si>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</si>
  <si>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</si>
  <si>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</si>
  <si>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</si>
  <si>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</si>
  <si>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</si>
  <si>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</si>
  <si>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</si>
  <si>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</si>
  <si>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</si>
  <si>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</si>
  <si>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</si>
  <si>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</si>
  <si>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</si>
  <si>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</si>
  <si>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</si>
  <si>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</si>
  <si>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</si>
  <si>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</si>
  <si>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</si>
  <si>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</si>
  <si>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</si>
  <si>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</si>
  <si>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</si>
  <si>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</si>
  <si>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</si>
  <si>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</si>
  <si>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</si>
  <si>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</si>
  <si>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</si>
  <si>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</si>
  <si>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</si>
  <si>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</si>
  <si>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</si>
  <si>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</si>
  <si>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</si>
  <si>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</si>
  <si>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</si>
  <si>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</si>
  <si>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</si>
  <si>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</si>
  <si>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</si>
  <si>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</si>
  <si>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</si>
  <si>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</si>
  <si>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</si>
  <si>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</si>
  <si>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</si>
  <si>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</si>
  <si>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</si>
  <si>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</si>
  <si>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</si>
  <si>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</si>
  <si>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</si>
  <si>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</si>
  <si>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</si>
  <si>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</si>
  <si>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</si>
  <si>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</si>
  <si>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</si>
  <si>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</si>
  <si>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</si>
  <si>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</si>
  <si>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</si>
  <si>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</si>
  <si>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</si>
  <si>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</si>
  <si>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</si>
  <si>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</si>
  <si>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</si>
  <si>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</si>
  <si>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</si>
  <si>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</si>
  <si>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</si>
  <si>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</si>
  <si>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</si>
  <si>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</si>
  <si>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</si>
  <si>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</si>
  <si>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</si>
  <si>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</si>
  <si>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</si>
  <si>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</si>
  <si>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</si>
  <si>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</si>
  <si>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</si>
  <si>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</si>
  <si>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</si>
  <si>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</si>
  <si>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</si>
  <si>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</si>
  <si>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</si>
  <si>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</si>
  <si>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</si>
  <si>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</si>
  <si>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</si>
  <si>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</si>
  <si>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</si>
  <si>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</si>
  <si>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</si>
  <si>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</si>
  <si>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</si>
  <si>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</si>
  <si>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</si>
  <si>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</si>
  <si>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</si>
  <si>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</si>
  <si>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</si>
  <si>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</si>
  <si>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</si>
  <si>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</si>
  <si>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</si>
  <si>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</si>
  <si>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</si>
  <si>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</si>
  <si>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</si>
  <si>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</si>
  <si>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</si>
  <si>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</si>
  <si>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</si>
  <si>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</si>
  <si>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</si>
  <si>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</si>
  <si>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</si>
  <si>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</si>
  <si>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</si>
  <si>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</si>
  <si>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</si>
  <si>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</si>
  <si>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</si>
  <si>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</si>
  <si>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</si>
  <si>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</si>
  <si>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</si>
  <si>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</si>
  <si>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</si>
  <si>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</si>
  <si>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</si>
  <si>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</si>
  <si>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</si>
  <si>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</si>
  <si>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</si>
  <si>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</si>
  <si>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</si>
  <si>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</si>
  <si>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</si>
  <si>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</si>
  <si>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</si>
  <si>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</si>
  <si>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</si>
  <si>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</si>
  <si>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</si>
  <si>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</si>
  <si>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</si>
  <si>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</si>
  <si>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</si>
  <si>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</si>
  <si>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</si>
  <si>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</si>
  <si>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</si>
  <si>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</si>
  <si>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</si>
  <si>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</si>
  <si>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</si>
  <si>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</si>
  <si>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</si>
  <si>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</si>
  <si>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</si>
  <si>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</si>
  <si>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</si>
  <si>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</si>
  <si>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</si>
  <si>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</si>
  <si>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</si>
  <si>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</si>
  <si>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</si>
  <si>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</si>
  <si>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</si>
  <si>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</si>
  <si>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</si>
  <si>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</si>
  <si>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</si>
  <si>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</si>
  <si>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</si>
  <si>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</si>
  <si>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</si>
  <si>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</si>
  <si>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</si>
  <si>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</si>
  <si>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</si>
  <si>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</si>
  <si>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</si>
  <si>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</si>
  <si>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</si>
  <si>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</si>
  <si>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</si>
  <si>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</si>
  <si>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</si>
  <si>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</si>
  <si>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</si>
  <si>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</si>
  <si>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</si>
  <si>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</si>
  <si>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</si>
  <si>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</si>
  <si>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</si>
  <si>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</si>
  <si>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</si>
  <si>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</si>
  <si>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</si>
  <si>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</si>
  <si>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</si>
  <si>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</si>
  <si>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</si>
  <si>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</si>
  <si>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</si>
  <si>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</si>
  <si>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</si>
  <si>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</si>
  <si>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</si>
  <si>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</si>
  <si>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</si>
  <si>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</si>
  <si>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</si>
  <si>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</si>
  <si>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</si>
  <si>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</si>
  <si>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</si>
  <si>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</si>
  <si>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</si>
  <si>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</si>
  <si>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</si>
  <si>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</si>
  <si>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</si>
  <si>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</si>
  <si>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</si>
  <si>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</si>
  <si>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</si>
  <si>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</si>
  <si>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</si>
  <si>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</si>
  <si>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</si>
  <si>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</si>
  <si>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</si>
  <si>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</si>
  <si>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</si>
  <si>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</si>
  <si>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</si>
  <si>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</si>
  <si>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</si>
  <si>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</si>
  <si>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</si>
  <si>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</si>
  <si>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</si>
  <si>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</si>
  <si>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</si>
  <si>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</si>
  <si>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</si>
  <si>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</si>
  <si>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</si>
  <si>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</si>
  <si>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</si>
  <si>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</si>
  <si>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</si>
  <si>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</si>
  <si>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</si>
  <si>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</si>
  <si>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</si>
  <si>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</si>
  <si>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</si>
  <si>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</si>
  <si>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</si>
  <si>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</si>
  <si>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</si>
  <si>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</si>
  <si>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</si>
  <si>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</si>
  <si>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</si>
  <si>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23060</t>
  </si>
  <si>
    <t>OPWIJK</t>
  </si>
  <si>
    <t>Cultuurgrond (ha)</t>
  </si>
  <si>
    <t>Paarden&amp;pony's 200 - 600 kg</t>
  </si>
  <si>
    <t>Paarden&amp;pony's &lt; 200 kg</t>
  </si>
  <si>
    <t>vloeibaar gas (MWh)</t>
  </si>
  <si>
    <t>interne verbrandingsmotor</t>
  </si>
  <si>
    <t>WKK interne verbrandinsgmotor (vloeibaar)</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</si>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</sst>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E883ACC4-D3B9-497B-A832-51A4FC2268D0}"/>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137329.63368600965</c:v>
                </c:pt>
                <c:pt idx="1">
                  <c:v>20779.438597302196</c:v>
                </c:pt>
                <c:pt idx="2">
                  <c:v>964.62099999999998</c:v>
                </c:pt>
                <c:pt idx="3">
                  <c:v>7534.2306022721559</c:v>
                </c:pt>
                <c:pt idx="4">
                  <c:v>15488.715297474546</c:v>
                </c:pt>
                <c:pt idx="5">
                  <c:v>62362.410495530276</c:v>
                </c:pt>
                <c:pt idx="6">
                  <c:v>649.90578662058135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137329.63368600965</c:v>
                </c:pt>
                <c:pt idx="1">
                  <c:v>20779.438597302196</c:v>
                </c:pt>
                <c:pt idx="2">
                  <c:v>964.62099999999998</c:v>
                </c:pt>
                <c:pt idx="3">
                  <c:v>7534.2306022721559</c:v>
                </c:pt>
                <c:pt idx="4">
                  <c:v>15488.715297474546</c:v>
                </c:pt>
                <c:pt idx="5">
                  <c:v>62362.410495530276</c:v>
                </c:pt>
                <c:pt idx="6">
                  <c:v>649.90578662058135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28751.759455163836</c:v>
                </c:pt>
                <c:pt idx="2">
                  <c:v>4055.0988419779314</c:v>
                </c:pt>
                <c:pt idx="3">
                  <c:v>183.88259430496518</c:v>
                </c:pt>
                <c:pt idx="4">
                  <c:v>966.54676599567949</c:v>
                </c:pt>
                <c:pt idx="5">
                  <c:v>3158.0447854347308</c:v>
                </c:pt>
                <c:pt idx="6">
                  <c:v>15760.116936763565</c:v>
                </c:pt>
                <c:pt idx="7">
                  <c:v>165.87134916261192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28751.759455163836</c:v>
                </c:pt>
                <c:pt idx="2">
                  <c:v>4055.0988419779314</c:v>
                </c:pt>
                <c:pt idx="3">
                  <c:v>183.88259430496518</c:v>
                </c:pt>
                <c:pt idx="4">
                  <c:v>966.54676599567949</c:v>
                </c:pt>
                <c:pt idx="5">
                  <c:v>3158.0447854347308</c:v>
                </c:pt>
                <c:pt idx="6">
                  <c:v>15760.116936763565</c:v>
                </c:pt>
                <c:pt idx="7">
                  <c:v>165.87134916261192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23060</v>
      </c>
      <c r="B6" s="385"/>
      <c r="C6" s="386"/>
    </row>
    <row r="7" spans="1:7" s="383" customFormat="1" ht="15.75" customHeight="1">
      <c r="A7" s="387" t="str">
        <f>txtMunicipality</f>
        <v>OPWIJK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0.19062677912357825</v>
      </c>
      <c r="C17" s="498">
        <f ca="1">'EF ele_warmte'!B22</f>
        <v>7.8529411764705889E-2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0.19062677912357825</v>
      </c>
      <c r="C29" s="499">
        <f ca="1">'EF ele_warmte'!B22</f>
        <v>7.8529411764705889E-2</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5682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956</v>
      </c>
      <c r="C14" s="327"/>
      <c r="D14" s="327"/>
      <c r="E14" s="327"/>
      <c r="F14" s="327"/>
    </row>
    <row r="15" spans="1:6">
      <c r="A15" s="1258" t="s">
        <v>177</v>
      </c>
      <c r="B15" s="1259">
        <v>9</v>
      </c>
      <c r="C15" s="327"/>
      <c r="D15" s="327"/>
      <c r="E15" s="327"/>
      <c r="F15" s="327"/>
    </row>
    <row r="16" spans="1:6">
      <c r="A16" s="1258" t="s">
        <v>6</v>
      </c>
      <c r="B16" s="1259">
        <v>253</v>
      </c>
      <c r="C16" s="327"/>
      <c r="D16" s="327"/>
      <c r="E16" s="327"/>
      <c r="F16" s="327"/>
    </row>
    <row r="17" spans="1:6">
      <c r="A17" s="1258" t="s">
        <v>7</v>
      </c>
      <c r="B17" s="1259">
        <v>221</v>
      </c>
      <c r="C17" s="327"/>
      <c r="D17" s="327"/>
      <c r="E17" s="327"/>
      <c r="F17" s="327"/>
    </row>
    <row r="18" spans="1:6">
      <c r="A18" s="1258" t="s">
        <v>8</v>
      </c>
      <c r="B18" s="1259">
        <v>326</v>
      </c>
      <c r="C18" s="327"/>
      <c r="D18" s="327"/>
      <c r="E18" s="327"/>
      <c r="F18" s="327"/>
    </row>
    <row r="19" spans="1:6">
      <c r="A19" s="1258" t="s">
        <v>9</v>
      </c>
      <c r="B19" s="1259">
        <v>325</v>
      </c>
      <c r="C19" s="327"/>
      <c r="D19" s="327"/>
      <c r="E19" s="327"/>
      <c r="F19" s="327"/>
    </row>
    <row r="20" spans="1:6">
      <c r="A20" s="1258" t="s">
        <v>10</v>
      </c>
      <c r="B20" s="1259">
        <v>263</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267</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43</v>
      </c>
      <c r="C29" s="327"/>
      <c r="D29" s="327"/>
      <c r="E29" s="327"/>
      <c r="F29" s="327"/>
    </row>
    <row r="30" spans="1:6">
      <c r="A30" s="1253" t="s">
        <v>906</v>
      </c>
      <c r="B30" s="1261">
        <v>16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3</v>
      </c>
      <c r="D36" s="1259">
        <v>14889.649400714399</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5424.1720363499999</v>
      </c>
    </row>
    <row r="39" spans="1:6">
      <c r="A39" s="1258" t="s">
        <v>29</v>
      </c>
      <c r="B39" s="1258" t="s">
        <v>30</v>
      </c>
      <c r="C39" s="1259">
        <v>3021</v>
      </c>
      <c r="D39" s="1259">
        <v>53013854.168490902</v>
      </c>
      <c r="E39" s="1259">
        <v>5616</v>
      </c>
      <c r="F39" s="1259">
        <v>25362417.2958447</v>
      </c>
    </row>
    <row r="40" spans="1:6">
      <c r="A40" s="1258" t="s">
        <v>29</v>
      </c>
      <c r="B40" s="1258" t="s">
        <v>28</v>
      </c>
      <c r="C40" s="1259">
        <v>0</v>
      </c>
      <c r="D40" s="1259">
        <v>0</v>
      </c>
      <c r="E40" s="1259">
        <v>0</v>
      </c>
      <c r="F40" s="1259">
        <v>0</v>
      </c>
    </row>
    <row r="41" spans="1:6">
      <c r="A41" s="1258" t="s">
        <v>31</v>
      </c>
      <c r="B41" s="1258" t="s">
        <v>32</v>
      </c>
      <c r="C41" s="1259">
        <v>30</v>
      </c>
      <c r="D41" s="1259">
        <v>702577.17466434499</v>
      </c>
      <c r="E41" s="1259">
        <v>148</v>
      </c>
      <c r="F41" s="1259">
        <v>1707911.2934774701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191137.33969359999</v>
      </c>
      <c r="E44" s="1259">
        <v>6</v>
      </c>
      <c r="F44" s="1259">
        <v>61100.170655907801</v>
      </c>
    </row>
    <row r="45" spans="1:6">
      <c r="A45" s="1258" t="s">
        <v>31</v>
      </c>
      <c r="B45" s="1258" t="s">
        <v>36</v>
      </c>
      <c r="C45" s="1259">
        <v>0</v>
      </c>
      <c r="D45" s="1259">
        <v>0</v>
      </c>
      <c r="E45" s="1259">
        <v>3</v>
      </c>
      <c r="F45" s="1259">
        <v>22210.047193499999</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20</v>
      </c>
      <c r="D48" s="1259">
        <v>5174837.3992245505</v>
      </c>
      <c r="E48" s="1259">
        <v>34</v>
      </c>
      <c r="F48" s="1259">
        <v>4234793.0224861903</v>
      </c>
    </row>
    <row r="49" spans="1:6">
      <c r="A49" s="1258" t="s">
        <v>31</v>
      </c>
      <c r="B49" s="1258" t="s">
        <v>39</v>
      </c>
      <c r="C49" s="1259">
        <v>0</v>
      </c>
      <c r="D49" s="1259">
        <v>0</v>
      </c>
      <c r="E49" s="1259">
        <v>0</v>
      </c>
      <c r="F49" s="1259">
        <v>0</v>
      </c>
    </row>
    <row r="50" spans="1:6">
      <c r="A50" s="1258" t="s">
        <v>31</v>
      </c>
      <c r="B50" s="1258" t="s">
        <v>40</v>
      </c>
      <c r="C50" s="1259">
        <v>0</v>
      </c>
      <c r="D50" s="1259">
        <v>0</v>
      </c>
      <c r="E50" s="1259">
        <v>8</v>
      </c>
      <c r="F50" s="1259">
        <v>271286.426441285</v>
      </c>
    </row>
    <row r="51" spans="1:6">
      <c r="A51" s="1258" t="s">
        <v>41</v>
      </c>
      <c r="B51" s="1258" t="s">
        <v>42</v>
      </c>
      <c r="C51" s="1259">
        <v>3</v>
      </c>
      <c r="D51" s="1259">
        <v>43385.087353131203</v>
      </c>
      <c r="E51" s="1259">
        <v>41</v>
      </c>
      <c r="F51" s="1259">
        <v>987005.07688019297</v>
      </c>
    </row>
    <row r="52" spans="1:6">
      <c r="A52" s="1258" t="s">
        <v>41</v>
      </c>
      <c r="B52" s="1258" t="s">
        <v>28</v>
      </c>
      <c r="C52" s="1259">
        <v>0</v>
      </c>
      <c r="D52" s="1259">
        <v>0</v>
      </c>
      <c r="E52" s="1259">
        <v>6</v>
      </c>
      <c r="F52" s="1259">
        <v>129520.29561205499</v>
      </c>
    </row>
    <row r="53" spans="1:6">
      <c r="A53" s="1258" t="s">
        <v>43</v>
      </c>
      <c r="B53" s="1258" t="s">
        <v>44</v>
      </c>
      <c r="C53" s="1259">
        <v>59</v>
      </c>
      <c r="D53" s="1259">
        <v>948212.57508318801</v>
      </c>
      <c r="E53" s="1259">
        <v>152</v>
      </c>
      <c r="F53" s="1259">
        <v>646482.76228942804</v>
      </c>
    </row>
    <row r="54" spans="1:6">
      <c r="A54" s="1258" t="s">
        <v>45</v>
      </c>
      <c r="B54" s="1258" t="s">
        <v>46</v>
      </c>
      <c r="C54" s="1259">
        <v>0</v>
      </c>
      <c r="D54" s="1259">
        <v>0</v>
      </c>
      <c r="E54" s="1259">
        <v>1</v>
      </c>
      <c r="F54" s="1259">
        <v>964621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23</v>
      </c>
      <c r="D57" s="1259">
        <v>629966.25855777797</v>
      </c>
      <c r="E57" s="1259">
        <v>50</v>
      </c>
      <c r="F57" s="1259">
        <v>625707.50557254697</v>
      </c>
    </row>
    <row r="58" spans="1:6">
      <c r="A58" s="1258" t="s">
        <v>48</v>
      </c>
      <c r="B58" s="1258" t="s">
        <v>50</v>
      </c>
      <c r="C58" s="1259">
        <v>6</v>
      </c>
      <c r="D58" s="1259">
        <v>154949.772963942</v>
      </c>
      <c r="E58" s="1259">
        <v>12</v>
      </c>
      <c r="F58" s="1259">
        <v>103590.138441433</v>
      </c>
    </row>
    <row r="59" spans="1:6">
      <c r="A59" s="1258" t="s">
        <v>48</v>
      </c>
      <c r="B59" s="1258" t="s">
        <v>51</v>
      </c>
      <c r="C59" s="1259">
        <v>32</v>
      </c>
      <c r="D59" s="1259">
        <v>1258638.6960012501</v>
      </c>
      <c r="E59" s="1259">
        <v>134</v>
      </c>
      <c r="F59" s="1259">
        <v>3043912.0170657099</v>
      </c>
    </row>
    <row r="60" spans="1:6">
      <c r="A60" s="1258" t="s">
        <v>48</v>
      </c>
      <c r="B60" s="1258" t="s">
        <v>52</v>
      </c>
      <c r="C60" s="1259">
        <v>25</v>
      </c>
      <c r="D60" s="1259">
        <v>1210847.9330253301</v>
      </c>
      <c r="E60" s="1259">
        <v>35</v>
      </c>
      <c r="F60" s="1259">
        <v>745130.84304479905</v>
      </c>
    </row>
    <row r="61" spans="1:6">
      <c r="A61" s="1258" t="s">
        <v>48</v>
      </c>
      <c r="B61" s="1258" t="s">
        <v>53</v>
      </c>
      <c r="C61" s="1259">
        <v>67</v>
      </c>
      <c r="D61" s="1259">
        <v>4200025.1752364999</v>
      </c>
      <c r="E61" s="1259">
        <v>183</v>
      </c>
      <c r="F61" s="1259">
        <v>1831780.5790387101</v>
      </c>
    </row>
    <row r="62" spans="1:6">
      <c r="A62" s="1258" t="s">
        <v>48</v>
      </c>
      <c r="B62" s="1258" t="s">
        <v>54</v>
      </c>
      <c r="C62" s="1259">
        <v>3</v>
      </c>
      <c r="D62" s="1259">
        <v>785078.04797955696</v>
      </c>
      <c r="E62" s="1259">
        <v>8</v>
      </c>
      <c r="F62" s="1259">
        <v>98044.550345022697</v>
      </c>
    </row>
    <row r="63" spans="1:6">
      <c r="A63" s="1258" t="s">
        <v>48</v>
      </c>
      <c r="B63" s="1258" t="s">
        <v>28</v>
      </c>
      <c r="C63" s="1259">
        <v>74</v>
      </c>
      <c r="D63" s="1259">
        <v>3233423.4899973301</v>
      </c>
      <c r="E63" s="1259">
        <v>91</v>
      </c>
      <c r="F63" s="1259">
        <v>2248028.6632266599</v>
      </c>
    </row>
    <row r="64" spans="1:6">
      <c r="A64" s="1258" t="s">
        <v>55</v>
      </c>
      <c r="B64" s="1258" t="s">
        <v>56</v>
      </c>
      <c r="C64" s="1259">
        <v>0</v>
      </c>
      <c r="D64" s="1259">
        <v>0</v>
      </c>
      <c r="E64" s="1259">
        <v>0</v>
      </c>
      <c r="F64" s="1259">
        <v>0</v>
      </c>
    </row>
    <row r="65" spans="1:6">
      <c r="A65" s="1258" t="s">
        <v>55</v>
      </c>
      <c r="B65" s="1258" t="s">
        <v>28</v>
      </c>
      <c r="C65" s="1259">
        <v>2</v>
      </c>
      <c r="D65" s="1259">
        <v>44448.474157112199</v>
      </c>
      <c r="E65" s="1259">
        <v>4</v>
      </c>
      <c r="F65" s="1259">
        <v>22888.901173492901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11</v>
      </c>
      <c r="F68" s="1261">
        <v>43920.604142411001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42240337</v>
      </c>
      <c r="E73" s="446"/>
      <c r="F73" s="327"/>
    </row>
    <row r="74" spans="1:6">
      <c r="A74" s="1258" t="s">
        <v>63</v>
      </c>
      <c r="B74" s="1258" t="s">
        <v>681</v>
      </c>
      <c r="C74" s="1271" t="s">
        <v>682</v>
      </c>
      <c r="D74" s="1259">
        <v>4104411.5832710736</v>
      </c>
      <c r="E74" s="446"/>
      <c r="F74" s="327"/>
    </row>
    <row r="75" spans="1:6">
      <c r="A75" s="1258" t="s">
        <v>64</v>
      </c>
      <c r="B75" s="1258" t="s">
        <v>679</v>
      </c>
      <c r="C75" s="1271" t="s">
        <v>683</v>
      </c>
      <c r="D75" s="1259">
        <v>21485549</v>
      </c>
      <c r="E75" s="446"/>
      <c r="F75" s="327"/>
    </row>
    <row r="76" spans="1:6">
      <c r="A76" s="1258" t="s">
        <v>64</v>
      </c>
      <c r="B76" s="1258" t="s">
        <v>681</v>
      </c>
      <c r="C76" s="1271" t="s">
        <v>684</v>
      </c>
      <c r="D76" s="1259">
        <v>1528192.5832710736</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172010.83345785277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2804.7944968181373</v>
      </c>
      <c r="C91" s="327"/>
      <c r="D91" s="327"/>
      <c r="E91" s="327"/>
      <c r="F91" s="327"/>
    </row>
    <row r="92" spans="1:6">
      <c r="A92" s="1253" t="s">
        <v>68</v>
      </c>
      <c r="B92" s="1254">
        <v>561.38995462634216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991</v>
      </c>
      <c r="C97" s="327"/>
      <c r="D97" s="327"/>
      <c r="E97" s="327"/>
      <c r="F97" s="327"/>
    </row>
    <row r="98" spans="1:6">
      <c r="A98" s="1258" t="s">
        <v>71</v>
      </c>
      <c r="B98" s="1259">
        <v>4</v>
      </c>
      <c r="C98" s="327"/>
      <c r="D98" s="327"/>
      <c r="E98" s="327"/>
      <c r="F98" s="327"/>
    </row>
    <row r="99" spans="1:6">
      <c r="A99" s="1258" t="s">
        <v>72</v>
      </c>
      <c r="B99" s="1259">
        <v>32</v>
      </c>
      <c r="C99" s="327"/>
      <c r="D99" s="327"/>
      <c r="E99" s="327"/>
      <c r="F99" s="327"/>
    </row>
    <row r="100" spans="1:6">
      <c r="A100" s="1258" t="s">
        <v>73</v>
      </c>
      <c r="B100" s="1259">
        <v>641</v>
      </c>
      <c r="C100" s="327"/>
      <c r="D100" s="327"/>
      <c r="E100" s="327"/>
      <c r="F100" s="327"/>
    </row>
    <row r="101" spans="1:6">
      <c r="A101" s="1258" t="s">
        <v>74</v>
      </c>
      <c r="B101" s="1259">
        <v>54</v>
      </c>
      <c r="C101" s="327"/>
      <c r="D101" s="327"/>
      <c r="E101" s="327"/>
      <c r="F101" s="327"/>
    </row>
    <row r="102" spans="1:6">
      <c r="A102" s="1258" t="s">
        <v>75</v>
      </c>
      <c r="B102" s="1259">
        <v>59</v>
      </c>
      <c r="C102" s="327"/>
      <c r="D102" s="327"/>
      <c r="E102" s="327"/>
      <c r="F102" s="327"/>
    </row>
    <row r="103" spans="1:6">
      <c r="A103" s="1258" t="s">
        <v>76</v>
      </c>
      <c r="B103" s="1259">
        <v>73</v>
      </c>
      <c r="C103" s="327"/>
      <c r="D103" s="327"/>
      <c r="E103" s="327"/>
      <c r="F103" s="327"/>
    </row>
    <row r="104" spans="1:6">
      <c r="A104" s="1258" t="s">
        <v>77</v>
      </c>
      <c r="B104" s="1259">
        <v>2565</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18</v>
      </c>
      <c r="C123" s="1259">
        <v>14</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72</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20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45896.352696958573</v>
      </c>
      <c r="C3" s="43" t="s">
        <v>163</v>
      </c>
      <c r="D3" s="43"/>
      <c r="E3" s="156"/>
      <c r="F3" s="43"/>
      <c r="G3" s="43"/>
      <c r="H3" s="43"/>
      <c r="I3" s="43"/>
      <c r="J3" s="43"/>
      <c r="K3" s="96"/>
    </row>
    <row r="4" spans="1:11">
      <c r="A4" s="353" t="s">
        <v>164</v>
      </c>
      <c r="B4" s="49">
        <f>IF(ISERROR('SEAP template'!B78+'SEAP template'!C78),0,'SEAP template'!B78+'SEAP template'!C78)</f>
        <v>7929.1844514444792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358.32970588235293</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0.19062677912357825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403.12091911764708</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5133.375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7.8529411764705889E-2</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964.62099999999998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964.62099999999998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0.19062677912357825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183.88259430496518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25362.417295844702</v>
      </c>
      <c r="C5" s="17">
        <f>IF(ISERROR('Eigen informatie GS &amp; warmtenet'!B57),0,'Eigen informatie GS &amp; warmtenet'!B57)</f>
        <v>0</v>
      </c>
      <c r="D5" s="30">
        <f>(SUM(HH_hh_gas_kWh,HH_rest_gas_kWh)/1000)*0.902</f>
        <v>47818.496459978793</v>
      </c>
      <c r="E5" s="17">
        <f>B32*B41</f>
        <v>1592.9579301403112</v>
      </c>
      <c r="F5" s="17">
        <f>B36*B45</f>
        <v>48816.948850512817</v>
      </c>
      <c r="G5" s="18"/>
      <c r="H5" s="17"/>
      <c r="I5" s="17"/>
      <c r="J5" s="17">
        <f>B35*B44+C35*C44</f>
        <v>924.49580817050571</v>
      </c>
      <c r="K5" s="17"/>
      <c r="L5" s="17"/>
      <c r="M5" s="17"/>
      <c r="N5" s="17">
        <f>B34*B43+C34*C43</f>
        <v>9150.5428445443868</v>
      </c>
      <c r="O5" s="17">
        <f>B52*B53*B54</f>
        <v>134.44666666666666</v>
      </c>
      <c r="P5" s="17">
        <f>B60*B61*B62/1000-B60*B61*B62/1000/B63</f>
        <v>724.5333333333333</v>
      </c>
    </row>
    <row r="6" spans="1:16">
      <c r="A6" s="16" t="s">
        <v>592</v>
      </c>
      <c r="B6" s="733">
        <f>kWh_PV_kleiner_dan_10kW</f>
        <v>2804.7944968181373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28167.211792662838</v>
      </c>
      <c r="C8" s="21">
        <f>C5</f>
        <v>0</v>
      </c>
      <c r="D8" s="21">
        <f>D5</f>
        <v>47818.496459978793</v>
      </c>
      <c r="E8" s="21">
        <f>E5</f>
        <v>1592.9579301403112</v>
      </c>
      <c r="F8" s="21">
        <f>F5</f>
        <v>48816.948850512817</v>
      </c>
      <c r="G8" s="21"/>
      <c r="H8" s="21"/>
      <c r="I8" s="21"/>
      <c r="J8" s="21">
        <f>J5</f>
        <v>924.49580817050571</v>
      </c>
      <c r="K8" s="21"/>
      <c r="L8" s="21">
        <f>L5</f>
        <v>0</v>
      </c>
      <c r="M8" s="21">
        <f>M5</f>
        <v>0</v>
      </c>
      <c r="N8" s="21">
        <f>N5</f>
        <v>9150.5428445443868</v>
      </c>
      <c r="O8" s="21">
        <f>O5</f>
        <v>134.44666666666666</v>
      </c>
      <c r="P8" s="21">
        <f>P5</f>
        <v>724.5333333333333</v>
      </c>
    </row>
    <row r="9" spans="1:16">
      <c r="B9" s="19"/>
      <c r="C9" s="19"/>
      <c r="D9" s="257"/>
      <c r="E9" s="19"/>
      <c r="F9" s="19"/>
      <c r="G9" s="19"/>
      <c r="H9" s="19"/>
      <c r="I9" s="19"/>
      <c r="J9" s="19"/>
      <c r="K9" s="19"/>
      <c r="L9" s="19"/>
      <c r="M9" s="19"/>
      <c r="N9" s="19"/>
      <c r="O9" s="19"/>
      <c r="P9" s="19"/>
    </row>
    <row r="10" spans="1:16">
      <c r="A10" s="24" t="s">
        <v>207</v>
      </c>
      <c r="B10" s="25">
        <f ca="1">'EF ele_warmte'!B12</f>
        <v>0.19062677912357825</v>
      </c>
      <c r="C10" s="25">
        <f ca="1">'EF ele_warmte'!B22</f>
        <v>7.8529411764705889E-2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5369.4248609269871</v>
      </c>
      <c r="C12" s="23">
        <f ca="1">C10*C8</f>
        <v>0</v>
      </c>
      <c r="D12" s="23">
        <f>D8*D10</f>
        <v>9659.3362849157165</v>
      </c>
      <c r="E12" s="23">
        <f>E10*E8</f>
        <v>361.60145014185065</v>
      </c>
      <c r="F12" s="23">
        <f>F10*F8</f>
        <v>13034.125343086924</v>
      </c>
      <c r="G12" s="23"/>
      <c r="H12" s="23"/>
      <c r="I12" s="23"/>
      <c r="J12" s="23">
        <f>J10*J8</f>
        <v>327.27151609235898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5682</v>
      </c>
      <c r="C26" s="36"/>
      <c r="D26" s="227"/>
    </row>
    <row r="27" spans="1:5" s="15" customFormat="1">
      <c r="A27" s="229" t="s">
        <v>697</v>
      </c>
      <c r="B27" s="37">
        <f>SUM(HH_hh_gas_aantal,HH_rest_gas_aantal)</f>
        <v>3021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2869.95</v>
      </c>
      <c r="C31" s="34" t="s">
        <v>104</v>
      </c>
      <c r="D31" s="173"/>
    </row>
    <row r="32" spans="1:5">
      <c r="A32" s="170" t="s">
        <v>72</v>
      </c>
      <c r="B32" s="33">
        <f>IF((B21*($B$26-($B$27-0.05*$B$27)-$B$60))&lt;0,0,B21*($B$26-($B$27-0.05*$B$27)-$B$60))</f>
        <v>69.466545223130666</v>
      </c>
      <c r="C32" s="34" t="s">
        <v>104</v>
      </c>
      <c r="D32" s="173"/>
    </row>
    <row r="33" spans="1:6">
      <c r="A33" s="170" t="s">
        <v>73</v>
      </c>
      <c r="B33" s="33">
        <f>IF((B22*($B$26-($B$27-0.05*$B$27)-$B$60))&lt;0,0,B22*($B$26-($B$27-0.05*$B$27)-$B$60))</f>
        <v>467.59132246026456</v>
      </c>
      <c r="C33" s="34" t="s">
        <v>104</v>
      </c>
      <c r="D33" s="173"/>
    </row>
    <row r="34" spans="1:6">
      <c r="A34" s="170" t="s">
        <v>74</v>
      </c>
      <c r="B34" s="33">
        <f>IF((B24*($B$26-($B$27-0.05*$B$27)-$B$60))&lt;0,0,B24*($B$26-($B$27-0.05*$B$27)-$B$60))</f>
        <v>118.63425648308737</v>
      </c>
      <c r="C34" s="33">
        <f>B26*C24</f>
        <v>1162.3103042667215</v>
      </c>
      <c r="D34" s="232"/>
    </row>
    <row r="35" spans="1:6">
      <c r="A35" s="170" t="s">
        <v>76</v>
      </c>
      <c r="B35" s="33">
        <f>IF((B19*($B$26-($B$27-0.05*$B$27)-$B$60))&lt;0,0,B19*($B$26-($B$27-0.05*$B$27)-$B$60))</f>
        <v>44.088386572170073</v>
      </c>
      <c r="C35" s="33">
        <f>B35/2</f>
        <v>22.044193286085036</v>
      </c>
      <c r="D35" s="232"/>
    </row>
    <row r="36" spans="1:6">
      <c r="A36" s="170" t="s">
        <v>77</v>
      </c>
      <c r="B36" s="33">
        <f>IF((B18*($B$26-($B$27-0.05*$B$27)-$B$60))&lt;0,0,B18*($B$26-($B$27-0.05*$B$27)-$B$60))</f>
        <v>2074.2694892613476</v>
      </c>
      <c r="C36" s="34" t="s">
        <v>104</v>
      </c>
      <c r="D36" s="173"/>
    </row>
    <row r="37" spans="1:6">
      <c r="A37" s="170" t="s">
        <v>78</v>
      </c>
      <c r="B37" s="33">
        <f>B60</f>
        <v>38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86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8696.1942967348805</v>
      </c>
      <c r="C5" s="17">
        <f>IF(ISERROR('Eigen informatie GS &amp; warmtenet'!B58),0,'Eigen informatie GS &amp; warmtenet'!B58)</f>
        <v>0</v>
      </c>
      <c r="D5" s="30">
        <f>SUM(D6:D12)</f>
        <v>10348.582295133043</v>
      </c>
      <c r="E5" s="17">
        <f>SUM(E6:E12)</f>
        <v>52.681383681892541</v>
      </c>
      <c r="F5" s="17">
        <f>SUM(F6:F12)</f>
        <v>1090.0916868322945</v>
      </c>
      <c r="G5" s="18"/>
      <c r="H5" s="17"/>
      <c r="I5" s="17"/>
      <c r="J5" s="17">
        <f>SUM(J6:J12)</f>
        <v>11.142809213681335</v>
      </c>
      <c r="K5" s="17"/>
      <c r="L5" s="17"/>
      <c r="M5" s="17"/>
      <c r="N5" s="17">
        <f>SUM(N6:N12)</f>
        <v>560.11612570641068</v>
      </c>
      <c r="O5" s="17">
        <f>B38*B39*B40</f>
        <v>1.5633333333333335</v>
      </c>
      <c r="P5" s="17">
        <f>B46*B47*B48/1000-B46*B47*B48/1000/B49</f>
        <v>19.066666666666666</v>
      </c>
      <c r="R5" s="32"/>
    </row>
    <row r="6" spans="1:18">
      <c r="A6" s="32" t="s">
        <v>53</v>
      </c>
      <c r="B6" s="37">
        <f>B26</f>
        <v>1831.7805790387101</v>
      </c>
      <c r="C6" s="33"/>
      <c r="D6" s="37">
        <f>IF(ISERROR(TER_kantoor_gas_kWh/1000),0,TER_kantoor_gas_kWh/1000)*0.902</f>
        <v>3788.4227080633232</v>
      </c>
      <c r="E6" s="33">
        <f>$C$26*'E Balans VL '!I12/100/3.6*1000000</f>
        <v>15.461825749378926</v>
      </c>
      <c r="F6" s="33">
        <f>$C$26*('E Balans VL '!L12+'E Balans VL '!N12)/100/3.6*1000000</f>
        <v>245.62149401756562</v>
      </c>
      <c r="G6" s="34"/>
      <c r="H6" s="33"/>
      <c r="I6" s="33"/>
      <c r="J6" s="33">
        <f>$C$26*('E Balans VL '!D12+'E Balans VL '!E12)/100/3.6*1000000</f>
        <v>0</v>
      </c>
      <c r="K6" s="33"/>
      <c r="L6" s="33"/>
      <c r="M6" s="33"/>
      <c r="N6" s="33">
        <f>$C$26*'E Balans VL '!Y12/100/3.6*1000000</f>
        <v>16.109943658919622</v>
      </c>
      <c r="O6" s="33"/>
      <c r="P6" s="33"/>
      <c r="R6" s="32"/>
    </row>
    <row r="7" spans="1:18">
      <c r="A7" s="32" t="s">
        <v>52</v>
      </c>
      <c r="B7" s="37">
        <f t="shared" ref="B7:B12" si="0">B27</f>
        <v>745.13084304479901</v>
      </c>
      <c r="C7" s="33"/>
      <c r="D7" s="37">
        <f>IF(ISERROR(TER_horeca_gas_kWh/1000),0,TER_horeca_gas_kWh/1000)*0.902</f>
        <v>1092.1848355888478</v>
      </c>
      <c r="E7" s="33">
        <f>$C$27*'E Balans VL '!I9/100/3.6*1000000</f>
        <v>9.796982987411436</v>
      </c>
      <c r="F7" s="33">
        <f>$C$27*('E Balans VL '!L9+'E Balans VL '!N9)/100/3.6*1000000</f>
        <v>187.13018362854316</v>
      </c>
      <c r="G7" s="34"/>
      <c r="H7" s="33"/>
      <c r="I7" s="33"/>
      <c r="J7" s="33">
        <f>$C$27*('E Balans VL '!D9+'E Balans VL '!E9)/100/3.6*1000000</f>
        <v>0</v>
      </c>
      <c r="K7" s="33"/>
      <c r="L7" s="33"/>
      <c r="M7" s="33"/>
      <c r="N7" s="33">
        <f>$C$27*'E Balans VL '!Y9/100/3.6*1000000</f>
        <v>0.20285272562980503</v>
      </c>
      <c r="O7" s="33"/>
      <c r="P7" s="33"/>
      <c r="R7" s="32"/>
    </row>
    <row r="8" spans="1:18">
      <c r="A8" s="6" t="s">
        <v>51</v>
      </c>
      <c r="B8" s="37">
        <f t="shared" si="0"/>
        <v>3043.9120170657097</v>
      </c>
      <c r="C8" s="33"/>
      <c r="D8" s="37">
        <f>IF(ISERROR(TER_handel_gas_kWh/1000),0,TER_handel_gas_kWh/1000)*0.902</f>
        <v>1135.2921037931276</v>
      </c>
      <c r="E8" s="33">
        <f>$C$28*'E Balans VL '!I13/100/3.6*1000000</f>
        <v>13.330410483735889</v>
      </c>
      <c r="F8" s="33">
        <f>$C$28*('E Balans VL '!L13+'E Balans VL '!N13)/100/3.6*1000000</f>
        <v>204.59539483696415</v>
      </c>
      <c r="G8" s="34"/>
      <c r="H8" s="33"/>
      <c r="I8" s="33"/>
      <c r="J8" s="33">
        <f>$C$28*('E Balans VL '!D13+'E Balans VL '!E13)/100/3.6*1000000</f>
        <v>0</v>
      </c>
      <c r="K8" s="33"/>
      <c r="L8" s="33"/>
      <c r="M8" s="33"/>
      <c r="N8" s="33">
        <f>$C$28*'E Balans VL '!Y13/100/3.6*1000000</f>
        <v>8.9924931432493675</v>
      </c>
      <c r="O8" s="33"/>
      <c r="P8" s="33"/>
      <c r="R8" s="32"/>
    </row>
    <row r="9" spans="1:18">
      <c r="A9" s="32" t="s">
        <v>50</v>
      </c>
      <c r="B9" s="37">
        <f t="shared" si="0"/>
        <v>103.590138441433</v>
      </c>
      <c r="C9" s="33"/>
      <c r="D9" s="37">
        <f>IF(ISERROR(TER_gezond_gas_kWh/1000),0,TER_gezond_gas_kWh/1000)*0.902</f>
        <v>139.76469521347568</v>
      </c>
      <c r="E9" s="33">
        <f>$C$29*'E Balans VL '!I10/100/3.6*1000000</f>
        <v>3.5625105964073041E-2</v>
      </c>
      <c r="F9" s="33">
        <f>$C$29*('E Balans VL '!L10+'E Balans VL '!N10)/100/3.6*1000000</f>
        <v>9.0541861209633172</v>
      </c>
      <c r="G9" s="34"/>
      <c r="H9" s="33"/>
      <c r="I9" s="33"/>
      <c r="J9" s="33">
        <f>$C$29*('E Balans VL '!D10+'E Balans VL '!E10)/100/3.6*1000000</f>
        <v>4.2970077800688502</v>
      </c>
      <c r="K9" s="33"/>
      <c r="L9" s="33"/>
      <c r="M9" s="33"/>
      <c r="N9" s="33">
        <f>$C$29*'E Balans VL '!Y10/100/3.6*1000000</f>
        <v>1.0861043211222976</v>
      </c>
      <c r="O9" s="33"/>
      <c r="P9" s="33"/>
      <c r="R9" s="32"/>
    </row>
    <row r="10" spans="1:18">
      <c r="A10" s="32" t="s">
        <v>49</v>
      </c>
      <c r="B10" s="37">
        <f t="shared" si="0"/>
        <v>625.70750557254701</v>
      </c>
      <c r="C10" s="33"/>
      <c r="D10" s="37">
        <f>IF(ISERROR(TER_ander_gas_kWh/1000),0,TER_ander_gas_kWh/1000)*0.902</f>
        <v>568.22956521911578</v>
      </c>
      <c r="E10" s="33">
        <f>$C$30*'E Balans VL '!I14/100/3.6*1000000</f>
        <v>0.37213108429856984</v>
      </c>
      <c r="F10" s="33">
        <f>$C$30*('E Balans VL '!L14+'E Balans VL '!N14)/100/3.6*1000000</f>
        <v>110.78347793670942</v>
      </c>
      <c r="G10" s="34"/>
      <c r="H10" s="33"/>
      <c r="I10" s="33"/>
      <c r="J10" s="33">
        <f>$C$30*('E Balans VL '!D14+'E Balans VL '!E14)/100/3.6*1000000</f>
        <v>0</v>
      </c>
      <c r="K10" s="33"/>
      <c r="L10" s="33"/>
      <c r="M10" s="33"/>
      <c r="N10" s="33">
        <f>$C$30*'E Balans VL '!Y14/100/3.6*1000000</f>
        <v>371.52378603777129</v>
      </c>
      <c r="O10" s="33"/>
      <c r="P10" s="33"/>
      <c r="R10" s="32"/>
    </row>
    <row r="11" spans="1:18">
      <c r="A11" s="32" t="s">
        <v>54</v>
      </c>
      <c r="B11" s="37">
        <f t="shared" si="0"/>
        <v>98.044550345022699</v>
      </c>
      <c r="C11" s="33"/>
      <c r="D11" s="37">
        <f>IF(ISERROR(TER_onderwijs_gas_kWh/1000),0,TER_onderwijs_gas_kWh/1000)*0.902</f>
        <v>708.14039927756039</v>
      </c>
      <c r="E11" s="33">
        <f>$C$31*'E Balans VL '!I11/100/3.6*1000000</f>
        <v>6.5214432973163761E-2</v>
      </c>
      <c r="F11" s="33">
        <f>$C$31*('E Balans VL '!L11+'E Balans VL '!N11)/100/3.6*1000000</f>
        <v>31.411563550783129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2248.0286632266598</v>
      </c>
      <c r="C12" s="33"/>
      <c r="D12" s="37">
        <f>IF(ISERROR(TER_rest_gas_kWh/1000),0,TER_rest_gas_kWh/1000)*0.902</f>
        <v>2916.5479879775921</v>
      </c>
      <c r="E12" s="33">
        <f>$C$32*'E Balans VL '!I8/100/3.6*1000000</f>
        <v>13.619193838130478</v>
      </c>
      <c r="F12" s="33">
        <f>$C$32*('E Balans VL '!L8+'E Balans VL '!N8)/100/3.6*1000000</f>
        <v>301.49538674076558</v>
      </c>
      <c r="G12" s="34"/>
      <c r="H12" s="33"/>
      <c r="I12" s="33"/>
      <c r="J12" s="33">
        <f>$C$32*('E Balans VL '!D8+'E Balans VL '!E8)/100/3.6*1000000</f>
        <v>6.8458014336124853</v>
      </c>
      <c r="K12" s="33"/>
      <c r="L12" s="33"/>
      <c r="M12" s="33"/>
      <c r="N12" s="33">
        <f>$C$32*'E Balans VL '!Y8/100/3.6*1000000</f>
        <v>162.2009458197183</v>
      </c>
      <c r="O12" s="33"/>
      <c r="P12" s="33"/>
      <c r="R12" s="32"/>
    </row>
    <row r="13" spans="1:18">
      <c r="A13" s="16" t="s">
        <v>483</v>
      </c>
      <c r="B13" s="245">
        <f ca="1">'lokale energieproductie'!N39+'lokale energieproductie'!N32</f>
        <v>0</v>
      </c>
      <c r="C13" s="245">
        <f ca="1">'lokale energieproductie'!O39+'lokale energieproductie'!O32</f>
        <v>0</v>
      </c>
      <c r="D13" s="305">
        <f ca="1">('lokale energieproductie'!P32+'lokale energieproductie'!P39)*(-1)</f>
        <v>0</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8696.1942967348805</v>
      </c>
      <c r="C16" s="21">
        <f t="shared" ca="1" si="1"/>
        <v>0</v>
      </c>
      <c r="D16" s="21">
        <f t="shared" ca="1" si="1"/>
        <v>10348.582295133043</v>
      </c>
      <c r="E16" s="21">
        <f t="shared" si="1"/>
        <v>52.681383681892541</v>
      </c>
      <c r="F16" s="21">
        <f t="shared" ca="1" si="1"/>
        <v>1090.0916868322945</v>
      </c>
      <c r="G16" s="21">
        <f t="shared" si="1"/>
        <v>0</v>
      </c>
      <c r="H16" s="21">
        <f t="shared" si="1"/>
        <v>0</v>
      </c>
      <c r="I16" s="21">
        <f t="shared" si="1"/>
        <v>0</v>
      </c>
      <c r="J16" s="21">
        <f t="shared" si="1"/>
        <v>11.142809213681335</v>
      </c>
      <c r="K16" s="21">
        <f t="shared" si="1"/>
        <v>0</v>
      </c>
      <c r="L16" s="21">
        <f t="shared" ca="1" si="1"/>
        <v>0</v>
      </c>
      <c r="M16" s="21">
        <f t="shared" si="1"/>
        <v>0</v>
      </c>
      <c r="N16" s="21">
        <f t="shared" ca="1" si="1"/>
        <v>560.11612570641068</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0.19062677912357825</v>
      </c>
      <c r="C18" s="25">
        <f ca="1">'EF ele_warmte'!B22</f>
        <v>7.8529411764705889E-2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1657.727509419401</v>
      </c>
      <c r="C20" s="23">
        <f t="shared" ref="C20:P20" ca="1" si="2">C16*C18</f>
        <v>0</v>
      </c>
      <c r="D20" s="23">
        <f t="shared" ca="1" si="2"/>
        <v>2090.4136236168747</v>
      </c>
      <c r="E20" s="23">
        <f t="shared" si="2"/>
        <v>11.958674095789608</v>
      </c>
      <c r="F20" s="23">
        <f t="shared" ca="1" si="2"/>
        <v>291.05448038422264</v>
      </c>
      <c r="G20" s="23">
        <f t="shared" si="2"/>
        <v>0</v>
      </c>
      <c r="H20" s="23">
        <f t="shared" si="2"/>
        <v>0</v>
      </c>
      <c r="I20" s="23">
        <f t="shared" si="2"/>
        <v>0</v>
      </c>
      <c r="J20" s="23">
        <f t="shared" si="2"/>
        <v>3.9445544616431927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1831.7805790387101</v>
      </c>
      <c r="C26" s="39">
        <f>IF(ISERROR(B26*3.6/1000000/'E Balans VL '!Z12*100),0,B26*3.6/1000000/'E Balans VL '!Z12*100)</f>
        <v>3.8391846856446581E-2</v>
      </c>
      <c r="D26" s="235" t="s">
        <v>647</v>
      </c>
      <c r="F26" s="6"/>
    </row>
    <row r="27" spans="1:18">
      <c r="A27" s="230" t="s">
        <v>52</v>
      </c>
      <c r="B27" s="33">
        <f>IF(ISERROR(TER_horeca_ele_kWh/1000),0,TER_horeca_ele_kWh/1000)</f>
        <v>745.13084304479901</v>
      </c>
      <c r="C27" s="39">
        <f>IF(ISERROR(B27*3.6/1000000/'E Balans VL '!Z9*100),0,B27*3.6/1000000/'E Balans VL '!Z9*100)</f>
        <v>5.7129053521161419E-2</v>
      </c>
      <c r="D27" s="235" t="s">
        <v>647</v>
      </c>
      <c r="F27" s="6"/>
    </row>
    <row r="28" spans="1:18">
      <c r="A28" s="170" t="s">
        <v>51</v>
      </c>
      <c r="B28" s="33">
        <f>IF(ISERROR(TER_handel_ele_kWh/1000),0,TER_handel_ele_kWh/1000)</f>
        <v>3043.9120170657097</v>
      </c>
      <c r="C28" s="39">
        <f>IF(ISERROR(B28*3.6/1000000/'E Balans VL '!Z13*100),0,B28*3.6/1000000/'E Balans VL '!Z13*100)</f>
        <v>8.5873248440309233E-2</v>
      </c>
      <c r="D28" s="235" t="s">
        <v>647</v>
      </c>
      <c r="F28" s="6"/>
    </row>
    <row r="29" spans="1:18">
      <c r="A29" s="230" t="s">
        <v>50</v>
      </c>
      <c r="B29" s="33">
        <f>IF(ISERROR(TER_gezond_ele_kWh/1000),0,TER_gezond_ele_kWh/1000)</f>
        <v>103.590138441433</v>
      </c>
      <c r="C29" s="39">
        <f>IF(ISERROR(B29*3.6/1000000/'E Balans VL '!Z10*100),0,B29*3.6/1000000/'E Balans VL '!Z10*100)</f>
        <v>1.1502396520294052E-2</v>
      </c>
      <c r="D29" s="235" t="s">
        <v>647</v>
      </c>
      <c r="F29" s="6"/>
    </row>
    <row r="30" spans="1:18">
      <c r="A30" s="230" t="s">
        <v>49</v>
      </c>
      <c r="B30" s="33">
        <f>IF(ISERROR(TER_ander_ele_kWh/1000),0,TER_ander_ele_kWh/1000)</f>
        <v>625.70750557254701</v>
      </c>
      <c r="C30" s="39">
        <f>IF(ISERROR(B30*3.6/1000000/'E Balans VL '!Z14*100),0,B30*3.6/1000000/'E Balans VL '!Z14*100)</f>
        <v>4.5148193891696851E-2</v>
      </c>
      <c r="D30" s="235" t="s">
        <v>647</v>
      </c>
      <c r="F30" s="6"/>
    </row>
    <row r="31" spans="1:18">
      <c r="A31" s="230" t="s">
        <v>54</v>
      </c>
      <c r="B31" s="33">
        <f>IF(ISERROR(TER_onderwijs_ele_kWh/1000),0,TER_onderwijs_ele_kWh/1000)</f>
        <v>98.044550345022699</v>
      </c>
      <c r="C31" s="39">
        <f>IF(ISERROR(B31*3.6/1000000/'E Balans VL '!Z11*100),0,B31*3.6/1000000/'E Balans VL '!Z11*100)</f>
        <v>2.7177172734549847E-2</v>
      </c>
      <c r="D31" s="235" t="s">
        <v>647</v>
      </c>
    </row>
    <row r="32" spans="1:18">
      <c r="A32" s="230" t="s">
        <v>249</v>
      </c>
      <c r="B32" s="33">
        <f>IF(ISERROR(TER_rest_ele_kWh/1000),0,TER_rest_ele_kWh/1000)</f>
        <v>2248.0286632266598</v>
      </c>
      <c r="C32" s="39">
        <f>IF(ISERROR(B32*3.6/1000000/'E Balans VL '!Z8*100),0,B32*3.6/1000000/'E Balans VL '!Z8*100)</f>
        <v>1.8325105892022981E-2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6297.3009602543534</v>
      </c>
      <c r="C5" s="17">
        <f>IF(ISERROR('Eigen informatie GS &amp; warmtenet'!B59),0,'Eigen informatie GS &amp; warmtenet'!B59)</f>
        <v>0</v>
      </c>
      <c r="D5" s="30">
        <f>SUM(D6:D15)</f>
        <v>5473.8338260514111</v>
      </c>
      <c r="E5" s="17">
        <f>SUM(E6:E15)</f>
        <v>722.59570881518937</v>
      </c>
      <c r="F5" s="17">
        <f>SUM(F6:F15)</f>
        <v>2561.723162124898</v>
      </c>
      <c r="G5" s="18"/>
      <c r="H5" s="17"/>
      <c r="I5" s="17"/>
      <c r="J5" s="17">
        <f>SUM(J6:J15)</f>
        <v>10.979782934592581</v>
      </c>
      <c r="K5" s="17"/>
      <c r="L5" s="17"/>
      <c r="M5" s="17"/>
      <c r="N5" s="17">
        <f>SUM(N6:N15)</f>
        <v>422.28185729410188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61.100170655907803</v>
      </c>
      <c r="C8" s="33"/>
      <c r="D8" s="37">
        <f>IF( ISERROR(IND_metaal_Gas_kWH/1000),0,IND_metaal_Gas_kWH/1000)*0.902</f>
        <v>172.40588040362718</v>
      </c>
      <c r="E8" s="33">
        <f>C30*'E Balans VL '!I18/100/3.6*1000000</f>
        <v>1.7550262431429799</v>
      </c>
      <c r="F8" s="33">
        <f>C30*'E Balans VL '!L18/100/3.6*1000000+C30*'E Balans VL '!N18/100/3.6*1000000</f>
        <v>15.67101864807989</v>
      </c>
      <c r="G8" s="34"/>
      <c r="H8" s="33"/>
      <c r="I8" s="33"/>
      <c r="J8" s="40">
        <f>C30*'E Balans VL '!D18/100/3.6*1000000+C30*'E Balans VL '!E18/100/3.6*1000000</f>
        <v>0</v>
      </c>
      <c r="K8" s="33"/>
      <c r="L8" s="33"/>
      <c r="M8" s="33"/>
      <c r="N8" s="33">
        <f>C30*'E Balans VL '!Y18/100/3.6*1000000</f>
        <v>1.6589943564266927</v>
      </c>
      <c r="O8" s="33"/>
      <c r="P8" s="33"/>
      <c r="R8" s="32"/>
    </row>
    <row r="9" spans="1:18">
      <c r="A9" s="6" t="s">
        <v>32</v>
      </c>
      <c r="B9" s="37">
        <f t="shared" si="0"/>
        <v>1707.9112934774701</v>
      </c>
      <c r="C9" s="33"/>
      <c r="D9" s="37">
        <f>IF( ISERROR(IND_andere_gas_kWh/1000),0,IND_andere_gas_kWh/1000)*0.902</f>
        <v>633.72461154723919</v>
      </c>
      <c r="E9" s="33">
        <f>C31*'E Balans VL '!I19/100/3.6*1000000</f>
        <v>462.28959466030062</v>
      </c>
      <c r="F9" s="33">
        <f>C31*'E Balans VL '!L19/100/3.6*1000000+C31*'E Balans VL '!N19/100/3.6*1000000</f>
        <v>1137.6496562245759</v>
      </c>
      <c r="G9" s="34"/>
      <c r="H9" s="33"/>
      <c r="I9" s="33"/>
      <c r="J9" s="40">
        <f>C31*'E Balans VL '!D19/100/3.6*1000000+C31*'E Balans VL '!E19/100/3.6*1000000</f>
        <v>0</v>
      </c>
      <c r="K9" s="33"/>
      <c r="L9" s="33"/>
      <c r="M9" s="33"/>
      <c r="N9" s="33">
        <f>C31*'E Balans VL '!Y19/100/3.6*1000000</f>
        <v>144.39258624314581</v>
      </c>
      <c r="O9" s="33"/>
      <c r="P9" s="33"/>
      <c r="R9" s="32"/>
    </row>
    <row r="10" spans="1:18">
      <c r="A10" s="6" t="s">
        <v>40</v>
      </c>
      <c r="B10" s="37">
        <f t="shared" si="0"/>
        <v>271.28642644128502</v>
      </c>
      <c r="C10" s="33"/>
      <c r="D10" s="37">
        <f>IF( ISERROR(IND_voed_gas_kWh/1000),0,IND_voed_gas_kWh/1000)*0.902</f>
        <v>0</v>
      </c>
      <c r="E10" s="33">
        <f>C32*'E Balans VL '!I20/100/3.6*1000000</f>
        <v>22.126744204897772</v>
      </c>
      <c r="F10" s="33">
        <f>C32*'E Balans VL '!L20/100/3.6*1000000+C32*'E Balans VL '!N20/100/3.6*1000000</f>
        <v>404.51267508520846</v>
      </c>
      <c r="G10" s="34"/>
      <c r="H10" s="33"/>
      <c r="I10" s="33"/>
      <c r="J10" s="40">
        <f>C32*'E Balans VL '!D20/100/3.6*1000000+C32*'E Balans VL '!E20/100/3.6*1000000</f>
        <v>3.5887901242719678E-3</v>
      </c>
      <c r="K10" s="33"/>
      <c r="L10" s="33"/>
      <c r="M10" s="33"/>
      <c r="N10" s="33">
        <f>C32*'E Balans VL '!Y20/100/3.6*1000000</f>
        <v>79.694379422660489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22.210047193499999</v>
      </c>
      <c r="C12" s="33"/>
      <c r="D12" s="37">
        <f>IF( ISERROR(IND_min_gas_kWh/1000),0,IND_min_gas_kWh/1000)*0.902</f>
        <v>0</v>
      </c>
      <c r="E12" s="33">
        <f>C34*'E Balans VL '!I22/100/3.6*1000000</f>
        <v>0.1730114282740717</v>
      </c>
      <c r="F12" s="33">
        <f>C34*'E Balans VL '!L22/100/3.6*1000000+C34*'E Balans VL '!N22/100/3.6*1000000</f>
        <v>8.3762649523026056</v>
      </c>
      <c r="G12" s="34"/>
      <c r="H12" s="33"/>
      <c r="I12" s="33"/>
      <c r="J12" s="40">
        <f>C34*'E Balans VL '!D22/100/3.6*1000000+C34*'E Balans VL '!E22/100/3.6*1000000</f>
        <v>0.12215331767480542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4234.7930224861902</v>
      </c>
      <c r="C15" s="33"/>
      <c r="D15" s="37">
        <f>IF( ISERROR(IND_rest_gas_kWh/1000),0,IND_rest_gas_kWh/1000)*0.902</f>
        <v>4667.7033341005445</v>
      </c>
      <c r="E15" s="33">
        <f>C37*'E Balans VL '!I15/100/3.6*1000000</f>
        <v>236.25133227857393</v>
      </c>
      <c r="F15" s="33">
        <f>C37*'E Balans VL '!L15/100/3.6*1000000+C37*'E Balans VL '!N15/100/3.6*1000000</f>
        <v>995.51354721473126</v>
      </c>
      <c r="G15" s="34"/>
      <c r="H15" s="33"/>
      <c r="I15" s="33"/>
      <c r="J15" s="40">
        <f>C37*'E Balans VL '!D15/100/3.6*1000000+C37*'E Balans VL '!E15/100/3.6*1000000</f>
        <v>10.854040826793504</v>
      </c>
      <c r="K15" s="33"/>
      <c r="L15" s="33"/>
      <c r="M15" s="33"/>
      <c r="N15" s="33">
        <f>C37*'E Balans VL '!Y15/100/3.6*1000000</f>
        <v>196.53589727186889</v>
      </c>
      <c r="O15" s="33"/>
      <c r="P15" s="33"/>
      <c r="R15" s="32"/>
    </row>
    <row r="16" spans="1:18">
      <c r="A16" s="16" t="s">
        <v>483</v>
      </c>
      <c r="B16" s="245">
        <f>'lokale energieproductie'!N38+'lokale energieproductie'!N31</f>
        <v>0</v>
      </c>
      <c r="C16" s="245">
        <f>'lokale energieproductie'!O38+'lokale energieproductie'!O31</f>
        <v>0</v>
      </c>
      <c r="D16" s="305">
        <f>('lokale energieproductie'!P31+'lokale energieproductie'!P38)*(-1)</f>
        <v>0</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6297.3009602543534</v>
      </c>
      <c r="C18" s="21">
        <f>C5+C16</f>
        <v>0</v>
      </c>
      <c r="D18" s="21">
        <f>MAX((D5+D16),0)</f>
        <v>5473.8338260514111</v>
      </c>
      <c r="E18" s="21">
        <f>MAX((E5+E16),0)</f>
        <v>722.59570881518937</v>
      </c>
      <c r="F18" s="21">
        <f>MAX((F5+F16),0)</f>
        <v>2561.723162124898</v>
      </c>
      <c r="G18" s="21"/>
      <c r="H18" s="21"/>
      <c r="I18" s="21"/>
      <c r="J18" s="21">
        <f>MAX((J5+J16),0)</f>
        <v>10.979782934592581</v>
      </c>
      <c r="K18" s="21"/>
      <c r="L18" s="21">
        <f>MAX((L5+L16),0)</f>
        <v>0</v>
      </c>
      <c r="M18" s="21"/>
      <c r="N18" s="21">
        <f>MAX((N5+N16),0)</f>
        <v>422.28185729410188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0.19062677912357825</v>
      </c>
      <c r="C20" s="25">
        <f ca="1">'EF ele_warmte'!B22</f>
        <v>7.8529411764705889E-2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1200.4341992251038</v>
      </c>
      <c r="C22" s="23">
        <f ca="1">C18*C20</f>
        <v>0</v>
      </c>
      <c r="D22" s="23">
        <f>D18*D20</f>
        <v>1105.7144328623851</v>
      </c>
      <c r="E22" s="23">
        <f>E18*E20</f>
        <v>164.02922590104799</v>
      </c>
      <c r="F22" s="23">
        <f>F18*F20</f>
        <v>683.98008428734784</v>
      </c>
      <c r="G22" s="23"/>
      <c r="H22" s="23"/>
      <c r="I22" s="23"/>
      <c r="J22" s="23">
        <f>J18*J20</f>
        <v>3.8868431588457737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61.100170655907803</v>
      </c>
      <c r="C30" s="39">
        <f>IF(ISERROR(B30*3.6/1000000/'E Balans VL '!Z18*100),0,B30*3.6/1000000/'E Balans VL '!Z18*100)</f>
        <v>6.0121008204205816E-3</v>
      </c>
      <c r="D30" s="235" t="s">
        <v>647</v>
      </c>
    </row>
    <row r="31" spans="1:18">
      <c r="A31" s="6" t="s">
        <v>32</v>
      </c>
      <c r="B31" s="37">
        <f>IF( ISERROR(IND_ander_ele_kWh/1000),0,IND_ander_ele_kWh/1000)</f>
        <v>1707.9112934774701</v>
      </c>
      <c r="C31" s="39">
        <f>IF(ISERROR(B31*3.6/1000000/'E Balans VL '!Z19*100),0,B31*3.6/1000000/'E Balans VL '!Z19*100)</f>
        <v>7.4378174443525416E-2</v>
      </c>
      <c r="D31" s="235" t="s">
        <v>647</v>
      </c>
    </row>
    <row r="32" spans="1:18">
      <c r="A32" s="170" t="s">
        <v>40</v>
      </c>
      <c r="B32" s="37">
        <f>IF( ISERROR(IND_voed_ele_kWh/1000),0,IND_voed_ele_kWh/1000)</f>
        <v>271.28642644128502</v>
      </c>
      <c r="C32" s="39">
        <f>IF(ISERROR(B32*3.6/1000000/'E Balans VL '!Z20*100),0,B32*3.6/1000000/'E Balans VL '!Z20*100)</f>
        <v>5.1472687041348907E-2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22.210047193499999</v>
      </c>
      <c r="C34" s="39">
        <f>IF(ISERROR(B34*3.6/1000000/'E Balans VL '!Z22*100),0,B34*3.6/1000000/'E Balans VL '!Z22*100)</f>
        <v>3.122955661748369E-3</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4234.7930224861902</v>
      </c>
      <c r="C37" s="39">
        <f>IF(ISERROR(B37*3.6/1000000/'E Balans VL '!Z15*100),0,B37*3.6/1000000/'E Balans VL '!Z15*100)</f>
        <v>3.2634281636244322E-2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1116.5253724922479</v>
      </c>
      <c r="C5" s="17">
        <f>'Eigen informatie GS &amp; warmtenet'!B60</f>
        <v>0</v>
      </c>
      <c r="D5" s="30">
        <f>IF(ISERROR(SUM(LB_lb_gas_kWh,LB_rest_gas_kWh)/1000),0,SUM(LB_lb_gas_kWh,LB_rest_gas_kWh)/1000)*0.902</f>
        <v>39.133348792524345</v>
      </c>
      <c r="E5" s="17">
        <f>B17*'E Balans VL '!I25/3.6*1000000/100</f>
        <v>23.184325742133655</v>
      </c>
      <c r="F5" s="17">
        <f>B17*('E Balans VL '!L25/3.6*1000000+'E Balans VL '!N25/3.6*1000000)/100</f>
        <v>3945.8291568539266</v>
      </c>
      <c r="G5" s="18"/>
      <c r="H5" s="17"/>
      <c r="I5" s="17"/>
      <c r="J5" s="17">
        <f>('E Balans VL '!D25+'E Balans VL '!E25)/3.6*1000000*landbouw!B17/100</f>
        <v>128.05839839132486</v>
      </c>
      <c r="K5" s="17"/>
      <c r="L5" s="17">
        <f>L6*(-1)</f>
        <v>8555.625</v>
      </c>
      <c r="M5" s="17"/>
      <c r="N5" s="17">
        <f>N6*(-1)</f>
        <v>0</v>
      </c>
      <c r="O5" s="17"/>
      <c r="P5" s="17"/>
      <c r="R5" s="32"/>
    </row>
    <row r="6" spans="1:18">
      <c r="A6" s="16" t="s">
        <v>483</v>
      </c>
      <c r="B6" s="17" t="s">
        <v>204</v>
      </c>
      <c r="C6" s="17">
        <f>'lokale energieproductie'!O40+'lokale energieproductie'!O33</f>
        <v>5133.375</v>
      </c>
      <c r="D6" s="305">
        <f>('lokale energieproductie'!P33+'lokale energieproductie'!P40)*(-1)</f>
        <v>0</v>
      </c>
      <c r="E6" s="246"/>
      <c r="F6" s="305">
        <f>('lokale energieproductie'!S33+'lokale energieproductie'!S40)*(-1)</f>
        <v>-2851.875</v>
      </c>
      <c r="G6" s="247"/>
      <c r="H6" s="246"/>
      <c r="I6" s="246"/>
      <c r="J6" s="246"/>
      <c r="K6" s="246"/>
      <c r="L6" s="305">
        <f>('lokale energieproductie'!T33+'lokale energieproductie'!U33+'lokale energieproductie'!T40+'lokale energieproductie'!U40)*(-1)</f>
        <v>-8555.625</v>
      </c>
      <c r="M6" s="246"/>
      <c r="N6" s="978">
        <f>('lokale energieproductie'!V33+'lokale energieproductie'!R33+'lokale energieproductie'!Q33+'lokale energieproductie'!Q40+'lokale energieproductie'!R40+'lokale energieproductie'!V40)*(-1)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1116.5253724922479</v>
      </c>
      <c r="C8" s="21">
        <f>C5+C6</f>
        <v>5133.375</v>
      </c>
      <c r="D8" s="21">
        <f>MAX((D5+D6),0)</f>
        <v>39.133348792524345</v>
      </c>
      <c r="E8" s="21">
        <f>MAX((E5+E6),0)</f>
        <v>23.184325742133655</v>
      </c>
      <c r="F8" s="21">
        <f>MAX((F5+F6),0)</f>
        <v>1093.9541568539266</v>
      </c>
      <c r="G8" s="21"/>
      <c r="H8" s="21"/>
      <c r="I8" s="21"/>
      <c r="J8" s="21">
        <f>MAX((J5+J6),0)</f>
        <v>128.05839839132486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0.19062677912357825</v>
      </c>
      <c r="C10" s="31">
        <f ca="1">'EF ele_warmte'!B22</f>
        <v>7.8529411764705889E-2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212.83963556795069</v>
      </c>
      <c r="C12" s="23">
        <f ca="1">C8*C10</f>
        <v>403.12091911764708</v>
      </c>
      <c r="D12" s="23">
        <f>D8*D10</f>
        <v>7.904936456089918</v>
      </c>
      <c r="E12" s="23">
        <f>E8*E10</f>
        <v>5.2628419434643403</v>
      </c>
      <c r="F12" s="23">
        <f>F8*F10</f>
        <v>292.08575987999842</v>
      </c>
      <c r="G12" s="23"/>
      <c r="H12" s="23"/>
      <c r="I12" s="23"/>
      <c r="J12" s="23">
        <f>J8*J10</f>
        <v>45.332673030528994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0.15572009862562552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86.149274242846474</v>
      </c>
      <c r="C26" s="245">
        <f>B26*'GWP N2O_CH4'!B5</f>
        <v>1809.1347590997759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11.122342786290004</v>
      </c>
      <c r="C27" s="245">
        <f>B27*'GWP N2O_CH4'!B5</f>
        <v>233.56919851209008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1.2849499642597253</v>
      </c>
      <c r="C28" s="245">
        <f>B28*'GWP N2O_CH4'!B4</f>
        <v>398.33448892051484</v>
      </c>
      <c r="D28" s="50"/>
    </row>
    <row r="29" spans="1:4">
      <c r="A29" s="41" t="s">
        <v>266</v>
      </c>
      <c r="B29" s="245">
        <f>B34*'ha_N2O bodem landbouw'!B4</f>
        <v>5.6945326928286351</v>
      </c>
      <c r="C29" s="245">
        <f>B29*'GWP N2O_CH4'!B4</f>
        <v>1765.3051347768769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1.4218679120405143E-3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1.7411415320729305E-5</v>
      </c>
      <c r="C5" s="434" t="s">
        <v>204</v>
      </c>
      <c r="D5" s="419">
        <f>SUM(D6:D11)</f>
        <v>1.8222477996530984E-5</v>
      </c>
      <c r="E5" s="419">
        <f>SUM(E6:E11)</f>
        <v>6.3898735954788575E-4</v>
      </c>
      <c r="F5" s="432" t="s">
        <v>204</v>
      </c>
      <c r="G5" s="419">
        <f>SUM(G6:G11)</f>
        <v>0.18121176496488475</v>
      </c>
      <c r="H5" s="419">
        <f>SUM(H6:H11)</f>
        <v>3.2935058528230352E-2</v>
      </c>
      <c r="I5" s="434" t="s">
        <v>204</v>
      </c>
      <c r="J5" s="434" t="s">
        <v>204</v>
      </c>
      <c r="K5" s="434" t="s">
        <v>204</v>
      </c>
      <c r="L5" s="434" t="s">
        <v>204</v>
      </c>
      <c r="M5" s="419">
        <f>SUM(M6:M11)</f>
        <v>9.683233037928729E-3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1.101273806185762E-5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9.7683861424877786E-6</v>
      </c>
      <c r="E6" s="836">
        <f>vkm_GW_PW*SUMIFS(TableVerdeelsleutelVkm[LPG],TableVerdeelsleutelVkm[Voertuigtype],"Lichte voertuigen")*SUMIFS(TableECFTransport[EnergieConsumptieFactor (PJ per km)],TableECFTransport[Index],CONCATENATE($A6,"_LPG_LPG"))</f>
        <v>3.507746842538639E-4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6.9732053811610697E-2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1.8000905344996345E-2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3.9690556491201708E-3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2.4824617697112864E-7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3.884683562224972E-2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1.0218889043245603E-6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1.7540007022069498E-3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6.0580017631599817E-6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8.4540918540432033E-6</v>
      </c>
      <c r="E8" s="422">
        <f>vkm_NGW_PW*SUMIFS(TableVerdeelsleutelVkm[LPG],TableVerdeelsleutelVkm[Voertuigtype],"Lichte voertuigen")*SUMIFS(TableECFTransport[EnergieConsumptieFactor (PJ per km)],TableECFTransport[Index],CONCATENATE($A8,"_LPG_LPG"))</f>
        <v>2.8821267529402191E-4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5.4053852139140178E-2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1.4932672046288219E-2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3.1213035238524282E-3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9.242931874057671E-8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1.8579023391884174E-2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4.5924804146073899E-7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8.3887316274917868E-4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4.8365042557581406</v>
      </c>
      <c r="C14" s="21"/>
      <c r="D14" s="21">
        <f t="shared" ref="D14:M14" si="0">((D5)*10^9/3600)+D12</f>
        <v>5.0617994434808287</v>
      </c>
      <c r="E14" s="21">
        <f t="shared" si="0"/>
        <v>177.49648876330158</v>
      </c>
      <c r="F14" s="21"/>
      <c r="G14" s="21">
        <f t="shared" si="0"/>
        <v>50336.601379134656</v>
      </c>
      <c r="H14" s="21">
        <f t="shared" si="0"/>
        <v>9148.6273689528753</v>
      </c>
      <c r="I14" s="21"/>
      <c r="J14" s="21"/>
      <c r="K14" s="21"/>
      <c r="L14" s="21"/>
      <c r="M14" s="21">
        <f t="shared" si="0"/>
        <v>2689.7869549802022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0.19062677912357825</v>
      </c>
      <c r="C16" s="56">
        <f ca="1">'EF ele_warmte'!B22</f>
        <v>7.8529411764705889E-2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0.92196722849265333</v>
      </c>
      <c r="C18" s="23"/>
      <c r="D18" s="23">
        <f t="shared" ref="D18:M18" si="1">D14*D16</f>
        <v>1.0224834875831275</v>
      </c>
      <c r="E18" s="23">
        <f t="shared" si="1"/>
        <v>40.291702949269464</v>
      </c>
      <c r="F18" s="23"/>
      <c r="G18" s="23">
        <f t="shared" si="1"/>
        <v>13439.872568228953</v>
      </c>
      <c r="H18" s="23">
        <f t="shared" si="1"/>
        <v>2278.0082148692659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1.1448029768651339E-5</v>
      </c>
      <c r="C50" s="316">
        <f t="shared" ref="C50:P50" si="2">SUM(C51:C52)</f>
        <v>0</v>
      </c>
      <c r="D50" s="316">
        <f t="shared" si="2"/>
        <v>0</v>
      </c>
      <c r="E50" s="316">
        <f t="shared" si="2"/>
        <v>0</v>
      </c>
      <c r="F50" s="316">
        <f t="shared" si="2"/>
        <v>0</v>
      </c>
      <c r="G50" s="316">
        <f t="shared" si="2"/>
        <v>2.2282942170160822E-3</v>
      </c>
      <c r="H50" s="316">
        <f t="shared" si="2"/>
        <v>0</v>
      </c>
      <c r="I50" s="316">
        <f t="shared" si="2"/>
        <v>0</v>
      </c>
      <c r="J50" s="316">
        <f t="shared" si="2"/>
        <v>0</v>
      </c>
      <c r="K50" s="316">
        <f t="shared" si="2"/>
        <v>0</v>
      </c>
      <c r="L50" s="316">
        <f t="shared" si="2"/>
        <v>0</v>
      </c>
      <c r="M50" s="316">
        <f t="shared" si="2"/>
        <v>9.9918585049359044E-5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1.1448029768651339E-5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2.2282942170160822E-3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9.9918585049359044E-5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3.1800082690698162</v>
      </c>
      <c r="C54" s="21">
        <f t="shared" ref="C54:P54" si="3">(C50)*10^9/3600</f>
        <v>0</v>
      </c>
      <c r="D54" s="21">
        <f t="shared" si="3"/>
        <v>0</v>
      </c>
      <c r="E54" s="21">
        <f t="shared" si="3"/>
        <v>0</v>
      </c>
      <c r="F54" s="21">
        <f t="shared" si="3"/>
        <v>0</v>
      </c>
      <c r="G54" s="21">
        <f t="shared" si="3"/>
        <v>618.97061583780066</v>
      </c>
      <c r="H54" s="21">
        <f t="shared" si="3"/>
        <v>0</v>
      </c>
      <c r="I54" s="21">
        <f t="shared" si="3"/>
        <v>0</v>
      </c>
      <c r="J54" s="21">
        <f t="shared" si="3"/>
        <v>0</v>
      </c>
      <c r="K54" s="21">
        <f t="shared" si="3"/>
        <v>0</v>
      </c>
      <c r="L54" s="21">
        <f t="shared" si="3"/>
        <v>0</v>
      </c>
      <c r="M54" s="21">
        <f t="shared" si="3"/>
        <v>27.755162513710843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0.19062677912357825</v>
      </c>
      <c r="C56" s="56">
        <f ca="1">'EF ele_warmte'!B22</f>
        <v>7.8529411764705889E-2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0.60619473391912426</v>
      </c>
      <c r="C58" s="23">
        <f t="shared" ref="C58:P58" ca="1" si="4">C54*C56</f>
        <v>0</v>
      </c>
      <c r="D58" s="23">
        <f t="shared" si="4"/>
        <v>0</v>
      </c>
      <c r="E58" s="23">
        <f t="shared" si="4"/>
        <v>0</v>
      </c>
      <c r="F58" s="23">
        <f t="shared" si="4"/>
        <v>0</v>
      </c>
      <c r="G58" s="23">
        <f t="shared" si="4"/>
        <v>165.2651544286928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3366.1844514444792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4563</v>
      </c>
      <c r="C8" s="546">
        <f>B49</f>
        <v>0</v>
      </c>
      <c r="D8" s="963"/>
      <c r="E8" s="963">
        <f>E49</f>
        <v>1342.0588235294117</v>
      </c>
      <c r="F8" s="964"/>
      <c r="G8" s="547"/>
      <c r="H8" s="963">
        <f>I49</f>
        <v>0</v>
      </c>
      <c r="I8" s="963">
        <f>G49+F49</f>
        <v>4026.1764705882351</v>
      </c>
      <c r="J8" s="963">
        <f>H49+D49+C49</f>
        <v>0</v>
      </c>
      <c r="K8" s="963"/>
      <c r="L8" s="963"/>
      <c r="M8" s="963"/>
      <c r="N8" s="548"/>
      <c r="O8" s="549">
        <f>C8*$C$12+D8*$D$12+E8*$E$12+F8*$F$12+G8*$G$12+H8*$H$12+I8*$I$12+J8*$J$12</f>
        <v>358.32970588235293</v>
      </c>
      <c r="P8" s="1206"/>
      <c r="Q8" s="1207"/>
      <c r="S8" s="975"/>
      <c r="T8" s="1227"/>
      <c r="U8" s="1227"/>
    </row>
    <row r="9" spans="1:21" s="534" customFormat="1" ht="17.45" customHeight="1" thickBot="1">
      <c r="A9" s="550" t="s">
        <v>237</v>
      </c>
      <c r="B9" s="551">
        <f>N37+'Eigen informatie GS &amp; warmtenet'!B12</f>
        <v>0</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7929.1844514444792</v>
      </c>
      <c r="C10" s="559">
        <f t="shared" ref="C10:L10" si="0">SUM(C8:C9)</f>
        <v>0</v>
      </c>
      <c r="D10" s="559">
        <f t="shared" si="0"/>
        <v>0</v>
      </c>
      <c r="E10" s="559">
        <f t="shared" si="0"/>
        <v>1342.0588235294117</v>
      </c>
      <c r="F10" s="559">
        <f t="shared" si="0"/>
        <v>0</v>
      </c>
      <c r="G10" s="559">
        <f t="shared" si="0"/>
        <v>0</v>
      </c>
      <c r="H10" s="559">
        <f t="shared" si="0"/>
        <v>0</v>
      </c>
      <c r="I10" s="559">
        <f t="shared" si="0"/>
        <v>4026.1764705882351</v>
      </c>
      <c r="J10" s="559">
        <f t="shared" si="0"/>
        <v>0</v>
      </c>
      <c r="K10" s="559">
        <f t="shared" si="0"/>
        <v>0</v>
      </c>
      <c r="L10" s="559">
        <f t="shared" si="0"/>
        <v>0</v>
      </c>
      <c r="M10" s="966"/>
      <c r="N10" s="966"/>
      <c r="O10" s="560">
        <f>SUM(O4:O9)</f>
        <v>358.32970588235293</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5133.375</v>
      </c>
      <c r="C17" s="571">
        <f>B50</f>
        <v>0</v>
      </c>
      <c r="D17" s="572"/>
      <c r="E17" s="572">
        <f>E50</f>
        <v>1509.8161764705883</v>
      </c>
      <c r="F17" s="969"/>
      <c r="G17" s="573"/>
      <c r="H17" s="571">
        <f>I50</f>
        <v>0</v>
      </c>
      <c r="I17" s="572">
        <f>G50+F50</f>
        <v>4529.4485294117649</v>
      </c>
      <c r="J17" s="572">
        <f>H50+D50+C50</f>
        <v>0</v>
      </c>
      <c r="K17" s="572"/>
      <c r="L17" s="572"/>
      <c r="M17" s="572"/>
      <c r="N17" s="970"/>
      <c r="O17" s="574">
        <f>C17*$C$22+E17*$E$22+H17*$H$22+I17*$I$22+J17*$J$22+D17*$D$22+F17*$F$22+G17*$G$22+K17*$K$22+L17*$L$22</f>
        <v>403.12091911764708</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5133.375</v>
      </c>
      <c r="C20" s="558">
        <f>SUM(C17:C19)</f>
        <v>0</v>
      </c>
      <c r="D20" s="558">
        <f t="shared" ref="D20:L20" si="1">SUM(D17:D19)</f>
        <v>0</v>
      </c>
      <c r="E20" s="558">
        <f t="shared" si="1"/>
        <v>1509.8161764705883</v>
      </c>
      <c r="F20" s="558">
        <f t="shared" si="1"/>
        <v>0</v>
      </c>
      <c r="G20" s="558">
        <f t="shared" si="1"/>
        <v>0</v>
      </c>
      <c r="H20" s="558">
        <f t="shared" si="1"/>
        <v>0</v>
      </c>
      <c r="I20" s="558">
        <f t="shared" si="1"/>
        <v>4529.4485294117649</v>
      </c>
      <c r="J20" s="558">
        <f t="shared" si="1"/>
        <v>0</v>
      </c>
      <c r="K20" s="558">
        <f t="shared" si="1"/>
        <v>0</v>
      </c>
      <c r="L20" s="558">
        <f t="shared" si="1"/>
        <v>0</v>
      </c>
      <c r="M20" s="558"/>
      <c r="N20" s="558"/>
      <c r="O20" s="578">
        <f>SUM(O17:O19)</f>
        <v>403.12091911764708</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38.25" hidden="1">
      <c r="A28" s="582"/>
      <c r="B28" s="741">
        <v>23060</v>
      </c>
      <c r="C28" s="741">
        <v>1745</v>
      </c>
      <c r="D28" s="630"/>
      <c r="E28" s="629"/>
      <c r="F28" s="629"/>
      <c r="G28" s="629" t="s">
        <v>908</v>
      </c>
      <c r="H28" s="629" t="s">
        <v>909</v>
      </c>
      <c r="I28" s="629"/>
      <c r="J28" s="740"/>
      <c r="K28" s="740"/>
      <c r="L28" s="629" t="s">
        <v>910</v>
      </c>
      <c r="M28" s="629">
        <v>720</v>
      </c>
      <c r="N28" s="629">
        <v>3240</v>
      </c>
      <c r="O28" s="629">
        <v>3645</v>
      </c>
      <c r="P28" s="629">
        <v>0</v>
      </c>
      <c r="Q28" s="629">
        <v>0</v>
      </c>
      <c r="R28" s="629">
        <v>0</v>
      </c>
      <c r="S28" s="629">
        <v>2025</v>
      </c>
      <c r="T28" s="629">
        <v>6075</v>
      </c>
      <c r="U28" s="629">
        <v>0</v>
      </c>
      <c r="V28" s="629">
        <v>0</v>
      </c>
      <c r="W28" s="629">
        <v>0</v>
      </c>
      <c r="X28" s="629"/>
      <c r="Y28" s="629">
        <v>10</v>
      </c>
      <c r="Z28" s="629" t="s">
        <v>105</v>
      </c>
      <c r="AA28" s="631" t="s">
        <v>105</v>
      </c>
    </row>
    <row r="29" spans="1:27" s="583" customFormat="1" ht="38.25" hidden="1">
      <c r="A29" s="582"/>
      <c r="B29" s="741">
        <v>23060</v>
      </c>
      <c r="C29" s="741">
        <v>1745</v>
      </c>
      <c r="D29" s="630"/>
      <c r="E29" s="629"/>
      <c r="F29" s="629"/>
      <c r="G29" s="629" t="s">
        <v>908</v>
      </c>
      <c r="H29" s="629" t="s">
        <v>909</v>
      </c>
      <c r="I29" s="629"/>
      <c r="J29" s="740"/>
      <c r="K29" s="740"/>
      <c r="L29" s="629" t="s">
        <v>910</v>
      </c>
      <c r="M29" s="629">
        <v>294</v>
      </c>
      <c r="N29" s="629">
        <v>1323</v>
      </c>
      <c r="O29" s="629">
        <v>1488.375</v>
      </c>
      <c r="P29" s="629">
        <v>0</v>
      </c>
      <c r="Q29" s="629">
        <v>0</v>
      </c>
      <c r="R29" s="629">
        <v>0</v>
      </c>
      <c r="S29" s="629">
        <v>826.875</v>
      </c>
      <c r="T29" s="629">
        <v>2480.625</v>
      </c>
      <c r="U29" s="629">
        <v>0</v>
      </c>
      <c r="V29" s="629">
        <v>0</v>
      </c>
      <c r="W29" s="629">
        <v>0</v>
      </c>
      <c r="X29" s="629"/>
      <c r="Y29" s="629">
        <v>10</v>
      </c>
      <c r="Z29" s="629" t="s">
        <v>105</v>
      </c>
      <c r="AA29" s="631" t="s">
        <v>105</v>
      </c>
    </row>
    <row r="30" spans="1:27" s="566" customFormat="1" hidden="1">
      <c r="A30" s="585" t="s">
        <v>269</v>
      </c>
      <c r="B30" s="586"/>
      <c r="C30" s="586"/>
      <c r="D30" s="586"/>
      <c r="E30" s="586"/>
      <c r="F30" s="586"/>
      <c r="G30" s="586"/>
      <c r="H30" s="586"/>
      <c r="I30" s="586"/>
      <c r="J30" s="586"/>
      <c r="K30" s="586"/>
      <c r="L30" s="587"/>
      <c r="M30" s="587">
        <f>SUM(M28:M29)</f>
        <v>1014</v>
      </c>
      <c r="N30" s="587">
        <f>SUM(N28:N29)</f>
        <v>4563</v>
      </c>
      <c r="O30" s="587">
        <f>SUM(O28:O29)</f>
        <v>5133.375</v>
      </c>
      <c r="P30" s="587">
        <f>SUM(P28:P29)</f>
        <v>0</v>
      </c>
      <c r="Q30" s="587">
        <f>SUM(Q28:Q29)</f>
        <v>0</v>
      </c>
      <c r="R30" s="587">
        <f>SUM(R28:R29)</f>
        <v>0</v>
      </c>
      <c r="S30" s="587">
        <f>SUM(S28:S29)</f>
        <v>2851.875</v>
      </c>
      <c r="T30" s="587">
        <f>SUM(T28:T29)</f>
        <v>8555.625</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0</v>
      </c>
      <c r="N31" s="587">
        <f>SUMIF($AA$28:$AA$29,"industrie",N28:N29)</f>
        <v>0</v>
      </c>
      <c r="O31" s="587">
        <f>SUMIF($AA$28:$AA$29,"industrie",O28:O29)</f>
        <v>0</v>
      </c>
      <c r="P31" s="587">
        <f>SUMIF($AA$28:$AA$29,"industrie",P28:P29)</f>
        <v>0</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0</v>
      </c>
      <c r="N32" s="587">
        <f ca="1">SUMIF($AA$28:AE29,"tertiair",N28:N29)</f>
        <v>0</v>
      </c>
      <c r="O32" s="587">
        <f ca="1">SUMIF($AA$28:AF29,"tertiair",O28:O29)</f>
        <v>0</v>
      </c>
      <c r="P32" s="587">
        <f ca="1">SUMIF($AA$28:AG29,"tertiair",P28:P29)</f>
        <v>0</v>
      </c>
      <c r="Q32" s="587">
        <f ca="1">SUMIF($AA$28:AH29,"tertiair",Q28:Q29)</f>
        <v>0</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1014</v>
      </c>
      <c r="N33" s="592">
        <f>SUMIF($AA$28:$AA$29,"landbouw",N28:N29)</f>
        <v>4563</v>
      </c>
      <c r="O33" s="592">
        <f>SUMIF($AA$28:$AA$29,"landbouw",O28:O29)</f>
        <v>5133.375</v>
      </c>
      <c r="P33" s="592">
        <f>SUMIF($AA$28:$AA$29,"landbouw",P28:P29)</f>
        <v>0</v>
      </c>
      <c r="Q33" s="592">
        <f>SUMIF($AA$28:$AA$29,"landbouw",Q28:Q29)</f>
        <v>0</v>
      </c>
      <c r="R33" s="592">
        <f>SUMIF($AA$28:$AA$29,"landbouw",R28:R29)</f>
        <v>0</v>
      </c>
      <c r="S33" s="592">
        <f>SUMIF($AA$28:$AA$29,"landbouw",S28:S29)</f>
        <v>2851.875</v>
      </c>
      <c r="T33" s="592">
        <f>SUMIF($AA$28:$AA$29,"landbouw",T28:T29)</f>
        <v>8555.625</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12.75" hidden="1">
      <c r="A36" s="584"/>
      <c r="B36" s="741"/>
      <c r="C36" s="741"/>
      <c r="D36" s="632"/>
      <c r="E36" s="632"/>
      <c r="F36" s="632"/>
      <c r="G36" s="632"/>
      <c r="H36" s="632"/>
      <c r="I36" s="632"/>
      <c r="J36" s="740"/>
      <c r="K36" s="740"/>
      <c r="L36" s="632"/>
      <c r="M36" s="632"/>
      <c r="N36" s="632"/>
      <c r="O36" s="632"/>
      <c r="P36" s="632"/>
      <c r="Q36" s="632"/>
      <c r="R36" s="632"/>
      <c r="S36" s="632"/>
      <c r="T36" s="632"/>
      <c r="U36" s="632"/>
      <c r="V36" s="632"/>
      <c r="W36" s="632"/>
      <c r="X36" s="632"/>
      <c r="Y36" s="632"/>
      <c r="Z36" s="632"/>
      <c r="AA36" s="633"/>
    </row>
    <row r="37" spans="1:28" s="566" customFormat="1" hidden="1">
      <c r="A37" s="585" t="s">
        <v>269</v>
      </c>
      <c r="B37" s="586"/>
      <c r="C37" s="586"/>
      <c r="D37" s="586"/>
      <c r="E37" s="586"/>
      <c r="F37" s="586"/>
      <c r="G37" s="586"/>
      <c r="H37" s="586"/>
      <c r="I37" s="586"/>
      <c r="J37" s="586"/>
      <c r="K37" s="586"/>
      <c r="L37" s="587"/>
      <c r="M37" s="587">
        <f>SUM(M36:M36)</f>
        <v>0</v>
      </c>
      <c r="N37" s="587">
        <f>SUM(N36:N36)</f>
        <v>0</v>
      </c>
      <c r="O37" s="587">
        <f>SUM(O36:O36)</f>
        <v>0</v>
      </c>
      <c r="P37" s="587">
        <f>SUM(P36:P36)</f>
        <v>0</v>
      </c>
      <c r="Q37" s="587">
        <f>SUM(Q36:Q36)</f>
        <v>0</v>
      </c>
      <c r="R37" s="587">
        <f>SUM(R36:R36)</f>
        <v>0</v>
      </c>
      <c r="S37" s="587">
        <f>SUM(S36:S36)</f>
        <v>0</v>
      </c>
      <c r="T37" s="587">
        <f>SUM(T36:T36)</f>
        <v>0</v>
      </c>
      <c r="U37" s="587">
        <f>SUM(U36:U36)</f>
        <v>0</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0</v>
      </c>
      <c r="N39" s="587">
        <f>SUMIF($AA$36:$AA$37,"tertiair",N36:N37)</f>
        <v>0</v>
      </c>
      <c r="O39" s="587">
        <f>SUMIF($AA$36:$AA$37,"tertiair",O36:O37)</f>
        <v>0</v>
      </c>
      <c r="P39" s="587">
        <f>SUMIF($AA$36:$AA$37,"tertiair",P36:P37)</f>
        <v>0</v>
      </c>
      <c r="Q39" s="587">
        <f>SUMIF($AA$36:$AA$37,"tertiair",Q36:Q37)</f>
        <v>0</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0</v>
      </c>
      <c r="N40" s="592">
        <f>SUMIF($AA$36:$AA$38,"landbouw",N36:N38)</f>
        <v>0</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0</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0.52941176470588236</v>
      </c>
      <c r="C46" s="612">
        <f>IF(ISERROR(N30/(O30+N30)),0,N30/(N30+O30))</f>
        <v>0.47058823529411764</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0</v>
      </c>
      <c r="C49" s="621">
        <f t="shared" si="2"/>
        <v>0</v>
      </c>
      <c r="D49" s="621">
        <f t="shared" si="2"/>
        <v>0</v>
      </c>
      <c r="E49" s="621">
        <f t="shared" si="2"/>
        <v>1342.0588235294117</v>
      </c>
      <c r="F49" s="621">
        <f t="shared" si="2"/>
        <v>4026.1764705882351</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0</v>
      </c>
      <c r="C50" s="624">
        <f t="shared" si="3"/>
        <v>0</v>
      </c>
      <c r="D50" s="624">
        <f t="shared" si="3"/>
        <v>0</v>
      </c>
      <c r="E50" s="624">
        <f t="shared" si="3"/>
        <v>1509.8161764705883</v>
      </c>
      <c r="F50" s="624">
        <f t="shared" si="3"/>
        <v>4529.4485294117649</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9660.8152967348797</v>
      </c>
      <c r="D10" s="640">
        <f ca="1">tertiair!C16</f>
        <v>0</v>
      </c>
      <c r="E10" s="640">
        <f ca="1">tertiair!D16</f>
        <v>10348.582295133043</v>
      </c>
      <c r="F10" s="640">
        <f>tertiair!E16</f>
        <v>52.681383681892541</v>
      </c>
      <c r="G10" s="640">
        <f ca="1">tertiair!F16</f>
        <v>1090.0916868322945</v>
      </c>
      <c r="H10" s="640">
        <f>tertiair!G16</f>
        <v>0</v>
      </c>
      <c r="I10" s="640">
        <f>tertiair!H16</f>
        <v>0</v>
      </c>
      <c r="J10" s="640">
        <f>tertiair!I16</f>
        <v>0</v>
      </c>
      <c r="K10" s="640">
        <f>tertiair!J16</f>
        <v>11.142809213681335</v>
      </c>
      <c r="L10" s="640">
        <f>tertiair!K16</f>
        <v>0</v>
      </c>
      <c r="M10" s="640">
        <f ca="1">tertiair!L16</f>
        <v>0</v>
      </c>
      <c r="N10" s="640">
        <f>tertiair!M16</f>
        <v>0</v>
      </c>
      <c r="O10" s="640">
        <f ca="1">tertiair!N16</f>
        <v>560.11612570641068</v>
      </c>
      <c r="P10" s="640">
        <f>tertiair!O16</f>
        <v>1.5633333333333335</v>
      </c>
      <c r="Q10" s="641">
        <f>tertiair!P16</f>
        <v>19.066666666666666</v>
      </c>
      <c r="R10" s="643">
        <f ca="1">SUM(C10:Q10)</f>
        <v>21744.059597302195</v>
      </c>
      <c r="S10" s="67"/>
    </row>
    <row r="11" spans="1:19" s="444" customFormat="1">
      <c r="A11" s="754" t="s">
        <v>214</v>
      </c>
      <c r="B11" s="759"/>
      <c r="C11" s="640">
        <f>huishoudens!B8</f>
        <v>28167.211792662838</v>
      </c>
      <c r="D11" s="640">
        <f>huishoudens!C8</f>
        <v>0</v>
      </c>
      <c r="E11" s="640">
        <f>huishoudens!D8</f>
        <v>47818.496459978793</v>
      </c>
      <c r="F11" s="640">
        <f>huishoudens!E8</f>
        <v>1592.9579301403112</v>
      </c>
      <c r="G11" s="640">
        <f>huishoudens!F8</f>
        <v>48816.948850512817</v>
      </c>
      <c r="H11" s="640">
        <f>huishoudens!G8</f>
        <v>0</v>
      </c>
      <c r="I11" s="640">
        <f>huishoudens!H8</f>
        <v>0</v>
      </c>
      <c r="J11" s="640">
        <f>huishoudens!I8</f>
        <v>0</v>
      </c>
      <c r="K11" s="640">
        <f>huishoudens!J8</f>
        <v>924.49580817050571</v>
      </c>
      <c r="L11" s="640">
        <f>huishoudens!K8</f>
        <v>0</v>
      </c>
      <c r="M11" s="640">
        <f>huishoudens!L8</f>
        <v>0</v>
      </c>
      <c r="N11" s="640">
        <f>huishoudens!M8</f>
        <v>0</v>
      </c>
      <c r="O11" s="640">
        <f>huishoudens!N8</f>
        <v>9150.5428445443868</v>
      </c>
      <c r="P11" s="640">
        <f>huishoudens!O8</f>
        <v>134.44666666666666</v>
      </c>
      <c r="Q11" s="641">
        <f>huishoudens!P8</f>
        <v>724.5333333333333</v>
      </c>
      <c r="R11" s="643">
        <f>SUM(C11:Q11)</f>
        <v>137329.63368600965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6297.3009602543534</v>
      </c>
      <c r="D13" s="640">
        <f>industrie!C18</f>
        <v>0</v>
      </c>
      <c r="E13" s="640">
        <f>industrie!D18</f>
        <v>5473.8338260514111</v>
      </c>
      <c r="F13" s="640">
        <f>industrie!E18</f>
        <v>722.59570881518937</v>
      </c>
      <c r="G13" s="640">
        <f>industrie!F18</f>
        <v>2561.723162124898</v>
      </c>
      <c r="H13" s="640">
        <f>industrie!G18</f>
        <v>0</v>
      </c>
      <c r="I13" s="640">
        <f>industrie!H18</f>
        <v>0</v>
      </c>
      <c r="J13" s="640">
        <f>industrie!I18</f>
        <v>0</v>
      </c>
      <c r="K13" s="640">
        <f>industrie!J18</f>
        <v>10.979782934592581</v>
      </c>
      <c r="L13" s="640">
        <f>industrie!K18</f>
        <v>0</v>
      </c>
      <c r="M13" s="640">
        <f>industrie!L18</f>
        <v>0</v>
      </c>
      <c r="N13" s="640">
        <f>industrie!M18</f>
        <v>0</v>
      </c>
      <c r="O13" s="640">
        <f>industrie!N18</f>
        <v>422.28185729410188</v>
      </c>
      <c r="P13" s="640">
        <f>industrie!O18</f>
        <v>0</v>
      </c>
      <c r="Q13" s="641">
        <f>industrie!P18</f>
        <v>0</v>
      </c>
      <c r="R13" s="643">
        <f>SUM(C13:Q13)</f>
        <v>15488.715297474546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44125.328049652067</v>
      </c>
      <c r="D16" s="675">
        <f t="shared" ref="D16:R16" ca="1" si="0">SUM(D9:D15)</f>
        <v>0</v>
      </c>
      <c r="E16" s="675">
        <f t="shared" ca="1" si="0"/>
        <v>63640.912581163248</v>
      </c>
      <c r="F16" s="675">
        <f t="shared" si="0"/>
        <v>2368.2350226373933</v>
      </c>
      <c r="G16" s="675">
        <f t="shared" ca="1" si="0"/>
        <v>52468.763699470015</v>
      </c>
      <c r="H16" s="675">
        <f t="shared" si="0"/>
        <v>0</v>
      </c>
      <c r="I16" s="675">
        <f t="shared" si="0"/>
        <v>0</v>
      </c>
      <c r="J16" s="675">
        <f t="shared" si="0"/>
        <v>0</v>
      </c>
      <c r="K16" s="675">
        <f t="shared" si="0"/>
        <v>946.61840031877955</v>
      </c>
      <c r="L16" s="675">
        <f t="shared" si="0"/>
        <v>0</v>
      </c>
      <c r="M16" s="675">
        <f t="shared" ca="1" si="0"/>
        <v>0</v>
      </c>
      <c r="N16" s="675">
        <f t="shared" si="0"/>
        <v>0</v>
      </c>
      <c r="O16" s="675">
        <f t="shared" ca="1" si="0"/>
        <v>10132.940827544899</v>
      </c>
      <c r="P16" s="675">
        <f t="shared" si="0"/>
        <v>136.01</v>
      </c>
      <c r="Q16" s="675">
        <f t="shared" si="0"/>
        <v>743.6</v>
      </c>
      <c r="R16" s="675">
        <f t="shared" ca="1" si="0"/>
        <v>174562.4085807864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3.1800082690698162</v>
      </c>
      <c r="D19" s="640">
        <f>transport!C54</f>
        <v>0</v>
      </c>
      <c r="E19" s="640">
        <f>transport!D54</f>
        <v>0</v>
      </c>
      <c r="F19" s="640">
        <f>transport!E54</f>
        <v>0</v>
      </c>
      <c r="G19" s="640">
        <f>transport!F54</f>
        <v>0</v>
      </c>
      <c r="H19" s="640">
        <f>transport!G54</f>
        <v>618.97061583780066</v>
      </c>
      <c r="I19" s="640">
        <f>transport!H54</f>
        <v>0</v>
      </c>
      <c r="J19" s="640">
        <f>transport!I54</f>
        <v>0</v>
      </c>
      <c r="K19" s="640">
        <f>transport!J54</f>
        <v>0</v>
      </c>
      <c r="L19" s="640">
        <f>transport!K54</f>
        <v>0</v>
      </c>
      <c r="M19" s="640">
        <f>transport!L54</f>
        <v>0</v>
      </c>
      <c r="N19" s="640">
        <f>transport!M54</f>
        <v>27.755162513710843</v>
      </c>
      <c r="O19" s="640">
        <f>transport!N54</f>
        <v>0</v>
      </c>
      <c r="P19" s="640">
        <f>transport!O54</f>
        <v>0</v>
      </c>
      <c r="Q19" s="641">
        <f>transport!P54</f>
        <v>0</v>
      </c>
      <c r="R19" s="643">
        <f>SUM(C19:Q19)</f>
        <v>649.90578662058135</v>
      </c>
      <c r="S19" s="67"/>
    </row>
    <row r="20" spans="1:19" s="444" customFormat="1">
      <c r="A20" s="754" t="s">
        <v>296</v>
      </c>
      <c r="B20" s="759"/>
      <c r="C20" s="640">
        <f>transport!B14</f>
        <v>4.8365042557581406</v>
      </c>
      <c r="D20" s="640">
        <f>transport!C14</f>
        <v>0</v>
      </c>
      <c r="E20" s="640">
        <f>transport!D14</f>
        <v>5.0617994434808287</v>
      </c>
      <c r="F20" s="640">
        <f>transport!E14</f>
        <v>177.49648876330158</v>
      </c>
      <c r="G20" s="640">
        <f>transport!F14</f>
        <v>0</v>
      </c>
      <c r="H20" s="640">
        <f>transport!G14</f>
        <v>50336.601379134656</v>
      </c>
      <c r="I20" s="640">
        <f>transport!H14</f>
        <v>9148.6273689528753</v>
      </c>
      <c r="J20" s="640">
        <f>transport!I14</f>
        <v>0</v>
      </c>
      <c r="K20" s="640">
        <f>transport!J14</f>
        <v>0</v>
      </c>
      <c r="L20" s="640">
        <f>transport!K14</f>
        <v>0</v>
      </c>
      <c r="M20" s="640">
        <f>transport!L14</f>
        <v>0</v>
      </c>
      <c r="N20" s="640">
        <f>transport!M14</f>
        <v>2689.7869549802022</v>
      </c>
      <c r="O20" s="640">
        <f>transport!N14</f>
        <v>0</v>
      </c>
      <c r="P20" s="640">
        <f>transport!O14</f>
        <v>0</v>
      </c>
      <c r="Q20" s="641">
        <f>transport!P14</f>
        <v>0</v>
      </c>
      <c r="R20" s="643">
        <f>SUM(C20:Q20)</f>
        <v>62362.410495530276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8.0165125248279558</v>
      </c>
      <c r="D22" s="757">
        <f t="shared" ref="D22:R22" si="1">SUM(D18:D21)</f>
        <v>0</v>
      </c>
      <c r="E22" s="757">
        <f t="shared" si="1"/>
        <v>5.0617994434808287</v>
      </c>
      <c r="F22" s="757">
        <f t="shared" si="1"/>
        <v>177.49648876330158</v>
      </c>
      <c r="G22" s="757">
        <f t="shared" si="1"/>
        <v>0</v>
      </c>
      <c r="H22" s="757">
        <f t="shared" si="1"/>
        <v>50955.571994972459</v>
      </c>
      <c r="I22" s="757">
        <f t="shared" si="1"/>
        <v>9148.6273689528753</v>
      </c>
      <c r="J22" s="757">
        <f t="shared" si="1"/>
        <v>0</v>
      </c>
      <c r="K22" s="757">
        <f t="shared" si="1"/>
        <v>0</v>
      </c>
      <c r="L22" s="757">
        <f t="shared" si="1"/>
        <v>0</v>
      </c>
      <c r="M22" s="757">
        <f t="shared" si="1"/>
        <v>0</v>
      </c>
      <c r="N22" s="757">
        <f t="shared" si="1"/>
        <v>2717.5421174939129</v>
      </c>
      <c r="O22" s="757">
        <f t="shared" si="1"/>
        <v>0</v>
      </c>
      <c r="P22" s="757">
        <f t="shared" si="1"/>
        <v>0</v>
      </c>
      <c r="Q22" s="757">
        <f t="shared" si="1"/>
        <v>0</v>
      </c>
      <c r="R22" s="757">
        <f t="shared" si="1"/>
        <v>63012.316282150859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1116.5253724922479</v>
      </c>
      <c r="D24" s="640">
        <f>+landbouw!C8</f>
        <v>5133.375</v>
      </c>
      <c r="E24" s="640">
        <f>+landbouw!D8</f>
        <v>39.133348792524345</v>
      </c>
      <c r="F24" s="640">
        <f>+landbouw!E8</f>
        <v>23.184325742133655</v>
      </c>
      <c r="G24" s="640">
        <f>+landbouw!F8</f>
        <v>1093.9541568539266</v>
      </c>
      <c r="H24" s="640">
        <f>+landbouw!G8</f>
        <v>0</v>
      </c>
      <c r="I24" s="640">
        <f>+landbouw!H8</f>
        <v>0</v>
      </c>
      <c r="J24" s="640">
        <f>+landbouw!I8</f>
        <v>0</v>
      </c>
      <c r="K24" s="640">
        <f>+landbouw!J8</f>
        <v>128.05839839132486</v>
      </c>
      <c r="L24" s="640">
        <f>+landbouw!K8</f>
        <v>0</v>
      </c>
      <c r="M24" s="640">
        <f>+landbouw!L8</f>
        <v>0</v>
      </c>
      <c r="N24" s="640">
        <f>+landbouw!M8</f>
        <v>0</v>
      </c>
      <c r="O24" s="640">
        <f>+landbouw!N8</f>
        <v>0</v>
      </c>
      <c r="P24" s="640">
        <f>+landbouw!O8</f>
        <v>0</v>
      </c>
      <c r="Q24" s="641">
        <f>+landbouw!P8</f>
        <v>0</v>
      </c>
      <c r="R24" s="643">
        <f>SUM(C24:Q24)</f>
        <v>7534.2306022721559</v>
      </c>
      <c r="S24" s="67"/>
    </row>
    <row r="25" spans="1:19" s="444" customFormat="1" ht="15" thickBot="1">
      <c r="A25" s="776" t="s">
        <v>806</v>
      </c>
      <c r="B25" s="939"/>
      <c r="C25" s="940">
        <f>IF(Onbekend_ele_kWh="---",0,Onbekend_ele_kWh)/1000+IF(REST_rest_ele_kWh="---",0,REST_rest_ele_kWh)/1000</f>
        <v>646.48276228942802</v>
      </c>
      <c r="D25" s="940"/>
      <c r="E25" s="940">
        <f>IF(onbekend_gas_kWh="---",0,onbekend_gas_kWh)/1000+IF(REST_rest_gas_kWh="---",0,REST_rest_gas_kWh)/1000</f>
        <v>948.21257508318797</v>
      </c>
      <c r="F25" s="940"/>
      <c r="G25" s="940"/>
      <c r="H25" s="940"/>
      <c r="I25" s="940"/>
      <c r="J25" s="940"/>
      <c r="K25" s="940"/>
      <c r="L25" s="940"/>
      <c r="M25" s="940"/>
      <c r="N25" s="940"/>
      <c r="O25" s="940"/>
      <c r="P25" s="940"/>
      <c r="Q25" s="941"/>
      <c r="R25" s="643">
        <f>SUM(C25:Q25)</f>
        <v>1594.695337372616</v>
      </c>
      <c r="S25" s="67"/>
    </row>
    <row r="26" spans="1:19" s="444" customFormat="1" ht="15.75" thickBot="1">
      <c r="A26" s="648" t="s">
        <v>807</v>
      </c>
      <c r="B26" s="762"/>
      <c r="C26" s="757">
        <f>SUM(C24:C25)</f>
        <v>1763.0081347816758</v>
      </c>
      <c r="D26" s="757">
        <f t="shared" ref="D26:R26" si="2">SUM(D24:D25)</f>
        <v>5133.375</v>
      </c>
      <c r="E26" s="757">
        <f t="shared" si="2"/>
        <v>987.34592387571229</v>
      </c>
      <c r="F26" s="757">
        <f t="shared" si="2"/>
        <v>23.184325742133655</v>
      </c>
      <c r="G26" s="757">
        <f t="shared" si="2"/>
        <v>1093.9541568539266</v>
      </c>
      <c r="H26" s="757">
        <f t="shared" si="2"/>
        <v>0</v>
      </c>
      <c r="I26" s="757">
        <f t="shared" si="2"/>
        <v>0</v>
      </c>
      <c r="J26" s="757">
        <f t="shared" si="2"/>
        <v>0</v>
      </c>
      <c r="K26" s="757">
        <f t="shared" si="2"/>
        <v>128.05839839132486</v>
      </c>
      <c r="L26" s="757">
        <f t="shared" si="2"/>
        <v>0</v>
      </c>
      <c r="M26" s="757">
        <f t="shared" si="2"/>
        <v>0</v>
      </c>
      <c r="N26" s="757">
        <f t="shared" si="2"/>
        <v>0</v>
      </c>
      <c r="O26" s="757">
        <f t="shared" si="2"/>
        <v>0</v>
      </c>
      <c r="P26" s="757">
        <f t="shared" si="2"/>
        <v>0</v>
      </c>
      <c r="Q26" s="757">
        <f t="shared" si="2"/>
        <v>0</v>
      </c>
      <c r="R26" s="757">
        <f t="shared" si="2"/>
        <v>9128.9259396447724</v>
      </c>
      <c r="S26" s="67"/>
    </row>
    <row r="27" spans="1:19" s="444" customFormat="1" ht="17.25" thickTop="1" thickBot="1">
      <c r="A27" s="649" t="s">
        <v>109</v>
      </c>
      <c r="B27" s="749"/>
      <c r="C27" s="650">
        <f ca="1">C22+C16+C26</f>
        <v>45896.352696958573</v>
      </c>
      <c r="D27" s="650">
        <f t="shared" ref="D27:R27" ca="1" si="3">D22+D16+D26</f>
        <v>5133.375</v>
      </c>
      <c r="E27" s="650">
        <f t="shared" ca="1" si="3"/>
        <v>64633.32030448244</v>
      </c>
      <c r="F27" s="650">
        <f t="shared" si="3"/>
        <v>2568.9158371428284</v>
      </c>
      <c r="G27" s="650">
        <f t="shared" ca="1" si="3"/>
        <v>53562.717856323943</v>
      </c>
      <c r="H27" s="650">
        <f t="shared" si="3"/>
        <v>50955.571994972459</v>
      </c>
      <c r="I27" s="650">
        <f t="shared" si="3"/>
        <v>9148.6273689528753</v>
      </c>
      <c r="J27" s="650">
        <f t="shared" si="3"/>
        <v>0</v>
      </c>
      <c r="K27" s="650">
        <f t="shared" si="3"/>
        <v>1074.6767987101043</v>
      </c>
      <c r="L27" s="650">
        <f t="shared" si="3"/>
        <v>0</v>
      </c>
      <c r="M27" s="650">
        <f t="shared" ca="1" si="3"/>
        <v>0</v>
      </c>
      <c r="N27" s="650">
        <f t="shared" si="3"/>
        <v>2717.5421174939129</v>
      </c>
      <c r="O27" s="650">
        <f t="shared" ca="1" si="3"/>
        <v>10132.940827544899</v>
      </c>
      <c r="P27" s="650">
        <f t="shared" si="3"/>
        <v>136.01</v>
      </c>
      <c r="Q27" s="650">
        <f t="shared" si="3"/>
        <v>743.6</v>
      </c>
      <c r="R27" s="650">
        <f t="shared" ca="1" si="3"/>
        <v>246703.65080258204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1841.6101037243661</v>
      </c>
      <c r="D40" s="640">
        <f ca="1">tertiair!C20</f>
        <v>0</v>
      </c>
      <c r="E40" s="640">
        <f ca="1">tertiair!D20</f>
        <v>2090.4136236168747</v>
      </c>
      <c r="F40" s="640">
        <f>tertiair!E20</f>
        <v>11.958674095789608</v>
      </c>
      <c r="G40" s="640">
        <f ca="1">tertiair!F20</f>
        <v>291.05448038422264</v>
      </c>
      <c r="H40" s="640">
        <f>tertiair!G20</f>
        <v>0</v>
      </c>
      <c r="I40" s="640">
        <f>tertiair!H20</f>
        <v>0</v>
      </c>
      <c r="J40" s="640">
        <f>tertiair!I20</f>
        <v>0</v>
      </c>
      <c r="K40" s="640">
        <f>tertiair!J20</f>
        <v>3.9445544616431927</v>
      </c>
      <c r="L40" s="640">
        <f>tertiair!K20</f>
        <v>0</v>
      </c>
      <c r="M40" s="640">
        <f ca="1">tertiair!L20</f>
        <v>0</v>
      </c>
      <c r="N40" s="640">
        <f>tertiair!M20</f>
        <v>0</v>
      </c>
      <c r="O40" s="640">
        <f ca="1">tertiair!N20</f>
        <v>0</v>
      </c>
      <c r="P40" s="640">
        <f>tertiair!O20</f>
        <v>0</v>
      </c>
      <c r="Q40" s="717">
        <f>tertiair!P20</f>
        <v>0</v>
      </c>
      <c r="R40" s="795">
        <f t="shared" ca="1" si="4"/>
        <v>4238.9814362828965</v>
      </c>
    </row>
    <row r="41" spans="1:18">
      <c r="A41" s="767" t="s">
        <v>214</v>
      </c>
      <c r="B41" s="774"/>
      <c r="C41" s="640">
        <f ca="1">huishoudens!B12</f>
        <v>5369.4248609269871</v>
      </c>
      <c r="D41" s="640">
        <f ca="1">huishoudens!C12</f>
        <v>0</v>
      </c>
      <c r="E41" s="640">
        <f>huishoudens!D12</f>
        <v>9659.3362849157165</v>
      </c>
      <c r="F41" s="640">
        <f>huishoudens!E12</f>
        <v>361.60145014185065</v>
      </c>
      <c r="G41" s="640">
        <f>huishoudens!F12</f>
        <v>13034.125343086924</v>
      </c>
      <c r="H41" s="640">
        <f>huishoudens!G12</f>
        <v>0</v>
      </c>
      <c r="I41" s="640">
        <f>huishoudens!H12</f>
        <v>0</v>
      </c>
      <c r="J41" s="640">
        <f>huishoudens!I12</f>
        <v>0</v>
      </c>
      <c r="K41" s="640">
        <f>huishoudens!J12</f>
        <v>327.27151609235898</v>
      </c>
      <c r="L41" s="640">
        <f>huishoudens!K12</f>
        <v>0</v>
      </c>
      <c r="M41" s="640">
        <f>huishoudens!L12</f>
        <v>0</v>
      </c>
      <c r="N41" s="640">
        <f>huishoudens!M12</f>
        <v>0</v>
      </c>
      <c r="O41" s="640">
        <f>huishoudens!N12</f>
        <v>0</v>
      </c>
      <c r="P41" s="640">
        <f>huishoudens!O12</f>
        <v>0</v>
      </c>
      <c r="Q41" s="717">
        <f>huishoudens!P12</f>
        <v>0</v>
      </c>
      <c r="R41" s="795">
        <f t="shared" ca="1" si="4"/>
        <v>28751.759455163836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1200.4341992251038</v>
      </c>
      <c r="D43" s="640">
        <f ca="1">industrie!C22</f>
        <v>0</v>
      </c>
      <c r="E43" s="640">
        <f>industrie!D22</f>
        <v>1105.7144328623851</v>
      </c>
      <c r="F43" s="640">
        <f>industrie!E22</f>
        <v>164.02922590104799</v>
      </c>
      <c r="G43" s="640">
        <f>industrie!F22</f>
        <v>683.98008428734784</v>
      </c>
      <c r="H43" s="640">
        <f>industrie!G22</f>
        <v>0</v>
      </c>
      <c r="I43" s="640">
        <f>industrie!H22</f>
        <v>0</v>
      </c>
      <c r="J43" s="640">
        <f>industrie!I22</f>
        <v>0</v>
      </c>
      <c r="K43" s="640">
        <f>industrie!J22</f>
        <v>3.8868431588457737</v>
      </c>
      <c r="L43" s="640">
        <f>industrie!K22</f>
        <v>0</v>
      </c>
      <c r="M43" s="640">
        <f>industrie!L22</f>
        <v>0</v>
      </c>
      <c r="N43" s="640">
        <f>industrie!M22</f>
        <v>0</v>
      </c>
      <c r="O43" s="640">
        <f>industrie!N22</f>
        <v>0</v>
      </c>
      <c r="P43" s="640">
        <f>industrie!O22</f>
        <v>0</v>
      </c>
      <c r="Q43" s="717">
        <f>industrie!P22</f>
        <v>0</v>
      </c>
      <c r="R43" s="794">
        <f t="shared" ca="1" si="4"/>
        <v>3158.0447854347308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8411.4691638764562</v>
      </c>
      <c r="D46" s="675">
        <f t="shared" ref="D46:Q46" ca="1" si="5">SUM(D39:D45)</f>
        <v>0</v>
      </c>
      <c r="E46" s="675">
        <f t="shared" ca="1" si="5"/>
        <v>12855.464341394976</v>
      </c>
      <c r="F46" s="675">
        <f t="shared" si="5"/>
        <v>537.58935013868825</v>
      </c>
      <c r="G46" s="675">
        <f t="shared" ca="1" si="5"/>
        <v>14009.159907758494</v>
      </c>
      <c r="H46" s="675">
        <f t="shared" si="5"/>
        <v>0</v>
      </c>
      <c r="I46" s="675">
        <f t="shared" si="5"/>
        <v>0</v>
      </c>
      <c r="J46" s="675">
        <f t="shared" si="5"/>
        <v>0</v>
      </c>
      <c r="K46" s="675">
        <f t="shared" si="5"/>
        <v>335.10291371284791</v>
      </c>
      <c r="L46" s="675">
        <f t="shared" si="5"/>
        <v>0</v>
      </c>
      <c r="M46" s="675">
        <f t="shared" ca="1" si="5"/>
        <v>0</v>
      </c>
      <c r="N46" s="675">
        <f t="shared" si="5"/>
        <v>0</v>
      </c>
      <c r="O46" s="675">
        <f t="shared" ca="1" si="5"/>
        <v>0</v>
      </c>
      <c r="P46" s="675">
        <f t="shared" si="5"/>
        <v>0</v>
      </c>
      <c r="Q46" s="675">
        <f t="shared" si="5"/>
        <v>0</v>
      </c>
      <c r="R46" s="675">
        <f ca="1">SUM(R39:R45)</f>
        <v>36148.78567688146</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0.60619473391912426</v>
      </c>
      <c r="D49" s="640">
        <f ca="1">transport!C58</f>
        <v>0</v>
      </c>
      <c r="E49" s="640">
        <f>transport!D58</f>
        <v>0</v>
      </c>
      <c r="F49" s="640">
        <f>transport!E58</f>
        <v>0</v>
      </c>
      <c r="G49" s="640">
        <f>transport!F58</f>
        <v>0</v>
      </c>
      <c r="H49" s="640">
        <f>transport!G58</f>
        <v>165.2651544286928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165.87134916261192</v>
      </c>
    </row>
    <row r="50" spans="1:18">
      <c r="A50" s="770" t="s">
        <v>296</v>
      </c>
      <c r="B50" s="780"/>
      <c r="C50" s="646">
        <f ca="1">transport!B18</f>
        <v>0.92196722849265333</v>
      </c>
      <c r="D50" s="646">
        <f>transport!C18</f>
        <v>0</v>
      </c>
      <c r="E50" s="646">
        <f>transport!D18</f>
        <v>1.0224834875831275</v>
      </c>
      <c r="F50" s="646">
        <f>transport!E18</f>
        <v>40.291702949269464</v>
      </c>
      <c r="G50" s="646">
        <f>transport!F18</f>
        <v>0</v>
      </c>
      <c r="H50" s="646">
        <f>transport!G18</f>
        <v>13439.872568228953</v>
      </c>
      <c r="I50" s="646">
        <f>transport!H18</f>
        <v>2278.0082148692659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15760.116936763565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1.5281619624117777</v>
      </c>
      <c r="D52" s="675">
        <f t="shared" ref="D52:Q52" ca="1" si="6">SUM(D48:D51)</f>
        <v>0</v>
      </c>
      <c r="E52" s="675">
        <f t="shared" si="6"/>
        <v>1.0224834875831275</v>
      </c>
      <c r="F52" s="675">
        <f t="shared" si="6"/>
        <v>40.291702949269464</v>
      </c>
      <c r="G52" s="675">
        <f t="shared" si="6"/>
        <v>0</v>
      </c>
      <c r="H52" s="675">
        <f t="shared" si="6"/>
        <v>13605.137722657646</v>
      </c>
      <c r="I52" s="675">
        <f t="shared" si="6"/>
        <v>2278.0082148692659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15925.988285926176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212.83963556795069</v>
      </c>
      <c r="D54" s="646">
        <f ca="1">+landbouw!C12</f>
        <v>403.12091911764708</v>
      </c>
      <c r="E54" s="646">
        <f>+landbouw!D12</f>
        <v>7.904936456089918</v>
      </c>
      <c r="F54" s="646">
        <f>+landbouw!E12</f>
        <v>5.2628419434643403</v>
      </c>
      <c r="G54" s="646">
        <f>+landbouw!F12</f>
        <v>292.08575987999842</v>
      </c>
      <c r="H54" s="646">
        <f>+landbouw!G12</f>
        <v>0</v>
      </c>
      <c r="I54" s="646">
        <f>+landbouw!H12</f>
        <v>0</v>
      </c>
      <c r="J54" s="646">
        <f>+landbouw!I12</f>
        <v>0</v>
      </c>
      <c r="K54" s="646">
        <f>+landbouw!J12</f>
        <v>45.332673030528994</v>
      </c>
      <c r="L54" s="646">
        <f>+landbouw!K12</f>
        <v>0</v>
      </c>
      <c r="M54" s="646">
        <f>+landbouw!L12</f>
        <v>0</v>
      </c>
      <c r="N54" s="646">
        <f>+landbouw!M12</f>
        <v>0</v>
      </c>
      <c r="O54" s="646">
        <f>+landbouw!N12</f>
        <v>0</v>
      </c>
      <c r="P54" s="646">
        <f>+landbouw!O12</f>
        <v>0</v>
      </c>
      <c r="Q54" s="647">
        <f>+landbouw!P12</f>
        <v>0</v>
      </c>
      <c r="R54" s="674">
        <f ca="1">SUM(C54:Q54)</f>
        <v>966.54676599567949</v>
      </c>
    </row>
    <row r="55" spans="1:18" ht="15" thickBot="1">
      <c r="A55" s="770" t="s">
        <v>806</v>
      </c>
      <c r="B55" s="780"/>
      <c r="C55" s="646">
        <f ca="1">C25*'EF ele_warmte'!B12</f>
        <v>123.23692673414754</v>
      </c>
      <c r="D55" s="646"/>
      <c r="E55" s="646">
        <f>E25*EF_CO2_aardgas</f>
        <v>191.538940166804</v>
      </c>
      <c r="F55" s="646"/>
      <c r="G55" s="646"/>
      <c r="H55" s="646"/>
      <c r="I55" s="646"/>
      <c r="J55" s="646"/>
      <c r="K55" s="646"/>
      <c r="L55" s="646"/>
      <c r="M55" s="646"/>
      <c r="N55" s="646"/>
      <c r="O55" s="646"/>
      <c r="P55" s="646"/>
      <c r="Q55" s="647"/>
      <c r="R55" s="674">
        <f ca="1">SUM(C55:Q55)</f>
        <v>314.77586690095154</v>
      </c>
    </row>
    <row r="56" spans="1:18" ht="15.75" thickBot="1">
      <c r="A56" s="768" t="s">
        <v>807</v>
      </c>
      <c r="B56" s="781"/>
      <c r="C56" s="675">
        <f ca="1">SUM(C54:C55)</f>
        <v>336.07656230209824</v>
      </c>
      <c r="D56" s="675">
        <f t="shared" ref="D56:Q56" ca="1" si="7">SUM(D54:D55)</f>
        <v>403.12091911764708</v>
      </c>
      <c r="E56" s="675">
        <f t="shared" si="7"/>
        <v>199.44387662289392</v>
      </c>
      <c r="F56" s="675">
        <f t="shared" si="7"/>
        <v>5.2628419434643403</v>
      </c>
      <c r="G56" s="675">
        <f t="shared" si="7"/>
        <v>292.08575987999842</v>
      </c>
      <c r="H56" s="675">
        <f t="shared" si="7"/>
        <v>0</v>
      </c>
      <c r="I56" s="675">
        <f t="shared" si="7"/>
        <v>0</v>
      </c>
      <c r="J56" s="675">
        <f t="shared" si="7"/>
        <v>0</v>
      </c>
      <c r="K56" s="675">
        <f t="shared" si="7"/>
        <v>45.332673030528994</v>
      </c>
      <c r="L56" s="675">
        <f t="shared" si="7"/>
        <v>0</v>
      </c>
      <c r="M56" s="675">
        <f t="shared" si="7"/>
        <v>0</v>
      </c>
      <c r="N56" s="675">
        <f t="shared" si="7"/>
        <v>0</v>
      </c>
      <c r="O56" s="675">
        <f t="shared" si="7"/>
        <v>0</v>
      </c>
      <c r="P56" s="675">
        <f t="shared" si="7"/>
        <v>0</v>
      </c>
      <c r="Q56" s="676">
        <f t="shared" si="7"/>
        <v>0</v>
      </c>
      <c r="R56" s="677">
        <f ca="1">SUM(R54:R55)</f>
        <v>1281.3226328966311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8749.0738881409652</v>
      </c>
      <c r="D61" s="683">
        <f t="shared" ref="D61:Q61" ca="1" si="8">D46+D52+D56</f>
        <v>403.12091911764708</v>
      </c>
      <c r="E61" s="683">
        <f t="shared" ca="1" si="8"/>
        <v>13055.930701505453</v>
      </c>
      <c r="F61" s="683">
        <f t="shared" si="8"/>
        <v>583.14389503142206</v>
      </c>
      <c r="G61" s="683">
        <f t="shared" ca="1" si="8"/>
        <v>14301.245667638492</v>
      </c>
      <c r="H61" s="683">
        <f t="shared" si="8"/>
        <v>13605.137722657646</v>
      </c>
      <c r="I61" s="683">
        <f t="shared" si="8"/>
        <v>2278.0082148692659</v>
      </c>
      <c r="J61" s="683">
        <f t="shared" si="8"/>
        <v>0</v>
      </c>
      <c r="K61" s="683">
        <f t="shared" si="8"/>
        <v>380.43558674337692</v>
      </c>
      <c r="L61" s="683">
        <f t="shared" si="8"/>
        <v>0</v>
      </c>
      <c r="M61" s="683">
        <f t="shared" ca="1" si="8"/>
        <v>0</v>
      </c>
      <c r="N61" s="683">
        <f t="shared" si="8"/>
        <v>0</v>
      </c>
      <c r="O61" s="683">
        <f t="shared" ca="1" si="8"/>
        <v>0</v>
      </c>
      <c r="P61" s="683">
        <f t="shared" si="8"/>
        <v>0</v>
      </c>
      <c r="Q61" s="683">
        <f t="shared" si="8"/>
        <v>0</v>
      </c>
      <c r="R61" s="683">
        <f ca="1">R46+R52+R56</f>
        <v>53356.096595704272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0.19062677912357823</v>
      </c>
      <c r="D63" s="726">
        <f t="shared" ca="1" si="9"/>
        <v>7.8529411764705889E-2</v>
      </c>
      <c r="E63" s="946">
        <f t="shared" ca="1" si="9"/>
        <v>0.20199999999999999</v>
      </c>
      <c r="F63" s="726">
        <f t="shared" si="9"/>
        <v>0.22700000000000001</v>
      </c>
      <c r="G63" s="726">
        <f t="shared" ca="1" si="9"/>
        <v>0.26699999999999996</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3366.1844514444792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3422.25</v>
      </c>
      <c r="C76" s="693">
        <f>'lokale energieproductie'!B8*IFERROR(SUM(D76:H76)/SUM(D76:O76),0)</f>
        <v>1140.75</v>
      </c>
      <c r="D76" s="956">
        <f>'lokale energieproductie'!C8</f>
        <v>0</v>
      </c>
      <c r="E76" s="957">
        <f>'lokale energieproductie'!D8</f>
        <v>0</v>
      </c>
      <c r="F76" s="957">
        <f>'lokale energieproductie'!E8</f>
        <v>1342.0588235294117</v>
      </c>
      <c r="G76" s="957">
        <f>'lokale energieproductie'!F8</f>
        <v>0</v>
      </c>
      <c r="H76" s="957">
        <f>'lokale energieproductie'!G8</f>
        <v>0</v>
      </c>
      <c r="I76" s="957">
        <f>'lokale energieproductie'!I8</f>
        <v>4026.1764705882351</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358.32970588235293</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6788.4344514444792</v>
      </c>
      <c r="C78" s="698">
        <f>SUM(C72:C77)</f>
        <v>1140.75</v>
      </c>
      <c r="D78" s="699">
        <f t="shared" ref="D78:H78" si="10">SUM(D76:D77)</f>
        <v>0</v>
      </c>
      <c r="E78" s="699">
        <f t="shared" si="10"/>
        <v>0</v>
      </c>
      <c r="F78" s="699">
        <f t="shared" si="10"/>
        <v>1342.0588235294117</v>
      </c>
      <c r="G78" s="699">
        <f t="shared" si="10"/>
        <v>0</v>
      </c>
      <c r="H78" s="699">
        <f t="shared" si="10"/>
        <v>0</v>
      </c>
      <c r="I78" s="699">
        <f>SUM(I76:I77)</f>
        <v>4026.1764705882351</v>
      </c>
      <c r="J78" s="699">
        <f>SUM(J76:J77)</f>
        <v>0</v>
      </c>
      <c r="K78" s="699">
        <f t="shared" ref="K78:L78" si="11">SUM(K76:K77)</f>
        <v>0</v>
      </c>
      <c r="L78" s="699">
        <f t="shared" si="11"/>
        <v>0</v>
      </c>
      <c r="M78" s="699">
        <f>SUM(M76:M77)</f>
        <v>0</v>
      </c>
      <c r="N78" s="699">
        <f>SUM(N76:N77)</f>
        <v>0</v>
      </c>
      <c r="O78" s="805">
        <f>SUM(O76:O77)</f>
        <v>0</v>
      </c>
      <c r="P78" s="700">
        <v>0</v>
      </c>
      <c r="Q78" s="700">
        <f>SUM(Q76:Q77)</f>
        <v>358.32970588235293</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3850.03125</v>
      </c>
      <c r="C87" s="709">
        <f>'lokale energieproductie'!B17*IFERROR(SUM(D87:H87)/SUM(D87:O87),0)</f>
        <v>1283.34375</v>
      </c>
      <c r="D87" s="720">
        <f>'lokale energieproductie'!C17</f>
        <v>0</v>
      </c>
      <c r="E87" s="720">
        <f>'lokale energieproductie'!D17</f>
        <v>0</v>
      </c>
      <c r="F87" s="720">
        <f>'lokale energieproductie'!E17</f>
        <v>1509.8161764705883</v>
      </c>
      <c r="G87" s="720">
        <f>'lokale energieproductie'!F17</f>
        <v>0</v>
      </c>
      <c r="H87" s="720">
        <f>'lokale energieproductie'!G17</f>
        <v>0</v>
      </c>
      <c r="I87" s="720">
        <f>'lokale energieproductie'!I17</f>
        <v>4529.4485294117649</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403.12091911764708</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3850.03125</v>
      </c>
      <c r="C90" s="698">
        <f>SUM(C87:C89)</f>
        <v>1283.34375</v>
      </c>
      <c r="D90" s="698">
        <f t="shared" ref="D90:H90" si="12">SUM(D87:D89)</f>
        <v>0</v>
      </c>
      <c r="E90" s="698">
        <f t="shared" si="12"/>
        <v>0</v>
      </c>
      <c r="F90" s="698">
        <f t="shared" si="12"/>
        <v>1509.8161764705883</v>
      </c>
      <c r="G90" s="698">
        <f t="shared" si="12"/>
        <v>0</v>
      </c>
      <c r="H90" s="698">
        <f t="shared" si="12"/>
        <v>0</v>
      </c>
      <c r="I90" s="698">
        <f>SUM(I87:I89)</f>
        <v>4529.4485294117649</v>
      </c>
      <c r="J90" s="698">
        <f>SUM(J87:J89)</f>
        <v>0</v>
      </c>
      <c r="K90" s="698">
        <f t="shared" ref="K90:L90" si="13">SUM(K87:K89)</f>
        <v>0</v>
      </c>
      <c r="L90" s="698">
        <f t="shared" si="13"/>
        <v>0</v>
      </c>
      <c r="M90" s="698">
        <f>SUM(M87:M89)</f>
        <v>0</v>
      </c>
      <c r="N90" s="698">
        <f>SUM(N87:N89)</f>
        <v>0</v>
      </c>
      <c r="O90" s="698">
        <f>SUM(O87:O89)</f>
        <v>0</v>
      </c>
      <c r="P90" s="698">
        <v>0</v>
      </c>
      <c r="Q90" s="698">
        <f>SUM(Q87:Q89)</f>
        <v>403.12091911764708</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28167.211792662838</v>
      </c>
      <c r="C4" s="448">
        <f>huishoudens!C8</f>
        <v>0</v>
      </c>
      <c r="D4" s="448">
        <f>huishoudens!D8</f>
        <v>47818.496459978793</v>
      </c>
      <c r="E4" s="448">
        <f>huishoudens!E8</f>
        <v>1592.9579301403112</v>
      </c>
      <c r="F4" s="448">
        <f>huishoudens!F8</f>
        <v>48816.948850512817</v>
      </c>
      <c r="G4" s="448">
        <f>huishoudens!G8</f>
        <v>0</v>
      </c>
      <c r="H4" s="448">
        <f>huishoudens!H8</f>
        <v>0</v>
      </c>
      <c r="I4" s="448">
        <f>huishoudens!I8</f>
        <v>0</v>
      </c>
      <c r="J4" s="448">
        <f>huishoudens!J8</f>
        <v>924.49580817050571</v>
      </c>
      <c r="K4" s="448">
        <f>huishoudens!K8</f>
        <v>0</v>
      </c>
      <c r="L4" s="448">
        <f>huishoudens!L8</f>
        <v>0</v>
      </c>
      <c r="M4" s="448">
        <f>huishoudens!M8</f>
        <v>0</v>
      </c>
      <c r="N4" s="448">
        <f>huishoudens!N8</f>
        <v>9150.5428445443868</v>
      </c>
      <c r="O4" s="448">
        <f>huishoudens!O8</f>
        <v>134.44666666666666</v>
      </c>
      <c r="P4" s="449">
        <f>huishoudens!P8</f>
        <v>724.5333333333333</v>
      </c>
      <c r="Q4" s="450">
        <f>SUM(B4:P4)</f>
        <v>137329.63368600965</v>
      </c>
    </row>
    <row r="5" spans="1:17">
      <c r="A5" s="447" t="s">
        <v>149</v>
      </c>
      <c r="B5" s="448">
        <f ca="1">tertiair!B16</f>
        <v>8696.1942967348805</v>
      </c>
      <c r="C5" s="448">
        <f ca="1">tertiair!C16</f>
        <v>0</v>
      </c>
      <c r="D5" s="448">
        <f ca="1">tertiair!D16</f>
        <v>10348.582295133043</v>
      </c>
      <c r="E5" s="448">
        <f>tertiair!E16</f>
        <v>52.681383681892541</v>
      </c>
      <c r="F5" s="448">
        <f ca="1">tertiair!F16</f>
        <v>1090.0916868322945</v>
      </c>
      <c r="G5" s="448">
        <f>tertiair!G16</f>
        <v>0</v>
      </c>
      <c r="H5" s="448">
        <f>tertiair!H16</f>
        <v>0</v>
      </c>
      <c r="I5" s="448">
        <f>tertiair!I16</f>
        <v>0</v>
      </c>
      <c r="J5" s="448">
        <f>tertiair!J16</f>
        <v>11.142809213681335</v>
      </c>
      <c r="K5" s="448">
        <f>tertiair!K16</f>
        <v>0</v>
      </c>
      <c r="L5" s="448">
        <f ca="1">tertiair!L16</f>
        <v>0</v>
      </c>
      <c r="M5" s="448">
        <f>tertiair!M16</f>
        <v>0</v>
      </c>
      <c r="N5" s="448">
        <f ca="1">tertiair!N16</f>
        <v>560.11612570641068</v>
      </c>
      <c r="O5" s="448">
        <f>tertiair!O16</f>
        <v>1.5633333333333335</v>
      </c>
      <c r="P5" s="449">
        <f>tertiair!P16</f>
        <v>19.066666666666666</v>
      </c>
      <c r="Q5" s="447">
        <f t="shared" ref="Q5:Q14" ca="1" si="0">SUM(B5:P5)</f>
        <v>20779.438597302196</v>
      </c>
    </row>
    <row r="6" spans="1:17">
      <c r="A6" s="447" t="s">
        <v>187</v>
      </c>
      <c r="B6" s="448">
        <f>'openbare verlichting'!B8</f>
        <v>964.62099999999998</v>
      </c>
      <c r="C6" s="448"/>
      <c r="D6" s="448"/>
      <c r="E6" s="448"/>
      <c r="F6" s="448"/>
      <c r="G6" s="448"/>
      <c r="H6" s="448"/>
      <c r="I6" s="448"/>
      <c r="J6" s="448"/>
      <c r="K6" s="448"/>
      <c r="L6" s="448"/>
      <c r="M6" s="448"/>
      <c r="N6" s="448"/>
      <c r="O6" s="448"/>
      <c r="P6" s="449"/>
      <c r="Q6" s="447">
        <f t="shared" si="0"/>
        <v>964.62099999999998</v>
      </c>
    </row>
    <row r="7" spans="1:17">
      <c r="A7" s="447" t="s">
        <v>105</v>
      </c>
      <c r="B7" s="448">
        <f>landbouw!B8</f>
        <v>1116.5253724922479</v>
      </c>
      <c r="C7" s="448">
        <f>landbouw!C8</f>
        <v>5133.375</v>
      </c>
      <c r="D7" s="448">
        <f>landbouw!D8</f>
        <v>39.133348792524345</v>
      </c>
      <c r="E7" s="448">
        <f>landbouw!E8</f>
        <v>23.184325742133655</v>
      </c>
      <c r="F7" s="448">
        <f>landbouw!F8</f>
        <v>1093.9541568539266</v>
      </c>
      <c r="G7" s="448">
        <f>landbouw!G8</f>
        <v>0</v>
      </c>
      <c r="H7" s="448">
        <f>landbouw!H8</f>
        <v>0</v>
      </c>
      <c r="I7" s="448">
        <f>landbouw!I8</f>
        <v>0</v>
      </c>
      <c r="J7" s="448">
        <f>landbouw!J8</f>
        <v>128.05839839132486</v>
      </c>
      <c r="K7" s="448">
        <f>landbouw!K8</f>
        <v>0</v>
      </c>
      <c r="L7" s="448">
        <f>landbouw!L8</f>
        <v>0</v>
      </c>
      <c r="M7" s="448">
        <f>landbouw!M8</f>
        <v>0</v>
      </c>
      <c r="N7" s="448">
        <f>landbouw!N8</f>
        <v>0</v>
      </c>
      <c r="O7" s="448">
        <f>landbouw!O8</f>
        <v>0</v>
      </c>
      <c r="P7" s="449">
        <f>landbouw!P8</f>
        <v>0</v>
      </c>
      <c r="Q7" s="447">
        <f t="shared" si="0"/>
        <v>7534.2306022721559</v>
      </c>
    </row>
    <row r="8" spans="1:17">
      <c r="A8" s="447" t="s">
        <v>614</v>
      </c>
      <c r="B8" s="448">
        <f>industrie!B18</f>
        <v>6297.3009602543534</v>
      </c>
      <c r="C8" s="448">
        <f>industrie!C18</f>
        <v>0</v>
      </c>
      <c r="D8" s="448">
        <f>industrie!D18</f>
        <v>5473.8338260514111</v>
      </c>
      <c r="E8" s="448">
        <f>industrie!E18</f>
        <v>722.59570881518937</v>
      </c>
      <c r="F8" s="448">
        <f>industrie!F18</f>
        <v>2561.723162124898</v>
      </c>
      <c r="G8" s="448">
        <f>industrie!G18</f>
        <v>0</v>
      </c>
      <c r="H8" s="448">
        <f>industrie!H18</f>
        <v>0</v>
      </c>
      <c r="I8" s="448">
        <f>industrie!I18</f>
        <v>0</v>
      </c>
      <c r="J8" s="448">
        <f>industrie!J18</f>
        <v>10.979782934592581</v>
      </c>
      <c r="K8" s="448">
        <f>industrie!K18</f>
        <v>0</v>
      </c>
      <c r="L8" s="448">
        <f>industrie!L18</f>
        <v>0</v>
      </c>
      <c r="M8" s="448">
        <f>industrie!M18</f>
        <v>0</v>
      </c>
      <c r="N8" s="448">
        <f>industrie!N18</f>
        <v>422.28185729410188</v>
      </c>
      <c r="O8" s="448">
        <f>industrie!O18</f>
        <v>0</v>
      </c>
      <c r="P8" s="449">
        <f>industrie!P18</f>
        <v>0</v>
      </c>
      <c r="Q8" s="447">
        <f t="shared" si="0"/>
        <v>15488.715297474546</v>
      </c>
    </row>
    <row r="9" spans="1:17" s="453" customFormat="1">
      <c r="A9" s="451" t="s">
        <v>555</v>
      </c>
      <c r="B9" s="452">
        <f>transport!B14</f>
        <v>4.8365042557581406</v>
      </c>
      <c r="C9" s="452">
        <f>transport!C14</f>
        <v>0</v>
      </c>
      <c r="D9" s="452">
        <f>transport!D14</f>
        <v>5.0617994434808287</v>
      </c>
      <c r="E9" s="452">
        <f>transport!E14</f>
        <v>177.49648876330158</v>
      </c>
      <c r="F9" s="452">
        <f>transport!F14</f>
        <v>0</v>
      </c>
      <c r="G9" s="452">
        <f>transport!G14</f>
        <v>50336.601379134656</v>
      </c>
      <c r="H9" s="452">
        <f>transport!H14</f>
        <v>9148.6273689528753</v>
      </c>
      <c r="I9" s="452">
        <f>transport!I14</f>
        <v>0</v>
      </c>
      <c r="J9" s="452">
        <f>transport!J14</f>
        <v>0</v>
      </c>
      <c r="K9" s="452">
        <f>transport!K14</f>
        <v>0</v>
      </c>
      <c r="L9" s="452">
        <f>transport!L14</f>
        <v>0</v>
      </c>
      <c r="M9" s="452">
        <f>transport!M14</f>
        <v>2689.7869549802022</v>
      </c>
      <c r="N9" s="452">
        <f>transport!N14</f>
        <v>0</v>
      </c>
      <c r="O9" s="452">
        <f>transport!O14</f>
        <v>0</v>
      </c>
      <c r="P9" s="452">
        <f>transport!P14</f>
        <v>0</v>
      </c>
      <c r="Q9" s="451">
        <f>SUM(B9:P9)</f>
        <v>62362.410495530276</v>
      </c>
    </row>
    <row r="10" spans="1:17">
      <c r="A10" s="447" t="s">
        <v>545</v>
      </c>
      <c r="B10" s="448">
        <f>transport!B54</f>
        <v>3.1800082690698162</v>
      </c>
      <c r="C10" s="448">
        <f>transport!C54</f>
        <v>0</v>
      </c>
      <c r="D10" s="448">
        <f>transport!D54</f>
        <v>0</v>
      </c>
      <c r="E10" s="448">
        <f>transport!E54</f>
        <v>0</v>
      </c>
      <c r="F10" s="448">
        <f>transport!F54</f>
        <v>0</v>
      </c>
      <c r="G10" s="448">
        <f>transport!G54</f>
        <v>618.97061583780066</v>
      </c>
      <c r="H10" s="448">
        <f>transport!H54</f>
        <v>0</v>
      </c>
      <c r="I10" s="448">
        <f>transport!I54</f>
        <v>0</v>
      </c>
      <c r="J10" s="448">
        <f>transport!J54</f>
        <v>0</v>
      </c>
      <c r="K10" s="448">
        <f>transport!K54</f>
        <v>0</v>
      </c>
      <c r="L10" s="448">
        <f>transport!L54</f>
        <v>0</v>
      </c>
      <c r="M10" s="448">
        <f>transport!M54</f>
        <v>27.755162513710843</v>
      </c>
      <c r="N10" s="448">
        <f>transport!N54</f>
        <v>0</v>
      </c>
      <c r="O10" s="448">
        <f>transport!O54</f>
        <v>0</v>
      </c>
      <c r="P10" s="449">
        <f>transport!P54</f>
        <v>0</v>
      </c>
      <c r="Q10" s="447">
        <f t="shared" si="0"/>
        <v>649.90578662058135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646.48276228942802</v>
      </c>
      <c r="C14" s="455"/>
      <c r="D14" s="455">
        <f>'SEAP template'!E25</f>
        <v>948.21257508318797</v>
      </c>
      <c r="E14" s="455"/>
      <c r="F14" s="455"/>
      <c r="G14" s="455"/>
      <c r="H14" s="455"/>
      <c r="I14" s="455"/>
      <c r="J14" s="455"/>
      <c r="K14" s="455"/>
      <c r="L14" s="455"/>
      <c r="M14" s="455"/>
      <c r="N14" s="455"/>
      <c r="O14" s="455"/>
      <c r="P14" s="456"/>
      <c r="Q14" s="447">
        <f t="shared" si="0"/>
        <v>1594.695337372616</v>
      </c>
    </row>
    <row r="15" spans="1:17" s="460" customFormat="1">
      <c r="A15" s="457" t="s">
        <v>549</v>
      </c>
      <c r="B15" s="458">
        <f ca="1">SUM(B4:B14)</f>
        <v>45896.352696958573</v>
      </c>
      <c r="C15" s="458">
        <f t="shared" ref="C15:Q15" ca="1" si="1">SUM(C4:C14)</f>
        <v>5133.375</v>
      </c>
      <c r="D15" s="458">
        <f t="shared" ca="1" si="1"/>
        <v>64633.32030448244</v>
      </c>
      <c r="E15" s="458">
        <f t="shared" si="1"/>
        <v>2568.9158371428284</v>
      </c>
      <c r="F15" s="458">
        <f t="shared" ca="1" si="1"/>
        <v>53562.717856323943</v>
      </c>
      <c r="G15" s="458">
        <f t="shared" si="1"/>
        <v>50955.571994972459</v>
      </c>
      <c r="H15" s="458">
        <f t="shared" si="1"/>
        <v>9148.6273689528753</v>
      </c>
      <c r="I15" s="458">
        <f t="shared" si="1"/>
        <v>0</v>
      </c>
      <c r="J15" s="458">
        <f t="shared" si="1"/>
        <v>1074.6767987101043</v>
      </c>
      <c r="K15" s="458">
        <f t="shared" si="1"/>
        <v>0</v>
      </c>
      <c r="L15" s="458">
        <f t="shared" ca="1" si="1"/>
        <v>0</v>
      </c>
      <c r="M15" s="458">
        <f t="shared" si="1"/>
        <v>2717.5421174939129</v>
      </c>
      <c r="N15" s="458">
        <f t="shared" ca="1" si="1"/>
        <v>10132.940827544899</v>
      </c>
      <c r="O15" s="458">
        <f t="shared" si="1"/>
        <v>136.01</v>
      </c>
      <c r="P15" s="458">
        <f t="shared" si="1"/>
        <v>743.6</v>
      </c>
      <c r="Q15" s="458">
        <f t="shared" ca="1" si="1"/>
        <v>246703.65080258201</v>
      </c>
    </row>
    <row r="17" spans="1:17">
      <c r="A17" s="461" t="s">
        <v>550</v>
      </c>
      <c r="B17" s="731">
        <f ca="1">huishoudens!B10</f>
        <v>0.19062677912357825</v>
      </c>
      <c r="C17" s="731">
        <f ca="1">huishoudens!C10</f>
        <v>7.8529411764705889E-2</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5369.4248609269871</v>
      </c>
      <c r="C22" s="448">
        <f t="shared" ref="C22:C32" ca="1" si="3">C4*$C$17</f>
        <v>0</v>
      </c>
      <c r="D22" s="448">
        <f t="shared" ref="D22:D32" si="4">D4*$D$17</f>
        <v>9659.3362849157165</v>
      </c>
      <c r="E22" s="448">
        <f t="shared" ref="E22:E32" si="5">E4*$E$17</f>
        <v>361.60145014185065</v>
      </c>
      <c r="F22" s="448">
        <f t="shared" ref="F22:F32" si="6">F4*$F$17</f>
        <v>13034.125343086924</v>
      </c>
      <c r="G22" s="448">
        <f t="shared" ref="G22:G32" si="7">G4*$G$17</f>
        <v>0</v>
      </c>
      <c r="H22" s="448">
        <f t="shared" ref="H22:H32" si="8">H4*$H$17</f>
        <v>0</v>
      </c>
      <c r="I22" s="448">
        <f t="shared" ref="I22:I32" si="9">I4*$I$17</f>
        <v>0</v>
      </c>
      <c r="J22" s="448">
        <f t="shared" ref="J22:J32" si="10">J4*$J$17</f>
        <v>327.27151609235898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28751.759455163836</v>
      </c>
    </row>
    <row r="23" spans="1:17">
      <c r="A23" s="447" t="s">
        <v>149</v>
      </c>
      <c r="B23" s="448">
        <f t="shared" ca="1" si="2"/>
        <v>1657.727509419401</v>
      </c>
      <c r="C23" s="448">
        <f t="shared" ca="1" si="3"/>
        <v>0</v>
      </c>
      <c r="D23" s="448">
        <f t="shared" ca="1" si="4"/>
        <v>2090.4136236168747</v>
      </c>
      <c r="E23" s="448">
        <f t="shared" si="5"/>
        <v>11.958674095789608</v>
      </c>
      <c r="F23" s="448">
        <f t="shared" ca="1" si="6"/>
        <v>291.05448038422264</v>
      </c>
      <c r="G23" s="448">
        <f t="shared" si="7"/>
        <v>0</v>
      </c>
      <c r="H23" s="448">
        <f t="shared" si="8"/>
        <v>0</v>
      </c>
      <c r="I23" s="448">
        <f t="shared" si="9"/>
        <v>0</v>
      </c>
      <c r="J23" s="448">
        <f t="shared" si="10"/>
        <v>3.9445544616431927</v>
      </c>
      <c r="K23" s="448">
        <f t="shared" si="11"/>
        <v>0</v>
      </c>
      <c r="L23" s="448">
        <f t="shared" ca="1" si="12"/>
        <v>0</v>
      </c>
      <c r="M23" s="448">
        <f t="shared" si="13"/>
        <v>0</v>
      </c>
      <c r="N23" s="448">
        <f t="shared" ca="1" si="14"/>
        <v>0</v>
      </c>
      <c r="O23" s="448">
        <f t="shared" si="15"/>
        <v>0</v>
      </c>
      <c r="P23" s="449">
        <f t="shared" si="16"/>
        <v>0</v>
      </c>
      <c r="Q23" s="447">
        <f t="shared" ref="Q23:Q32" ca="1" si="17">SUM(B23:P23)</f>
        <v>4055.0988419779314</v>
      </c>
    </row>
    <row r="24" spans="1:17">
      <c r="A24" s="447" t="s">
        <v>187</v>
      </c>
      <c r="B24" s="448">
        <f t="shared" ca="1" si="2"/>
        <v>183.88259430496518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183.88259430496518</v>
      </c>
    </row>
    <row r="25" spans="1:17">
      <c r="A25" s="447" t="s">
        <v>105</v>
      </c>
      <c r="B25" s="448">
        <f t="shared" ca="1" si="2"/>
        <v>212.83963556795069</v>
      </c>
      <c r="C25" s="448">
        <f t="shared" ca="1" si="3"/>
        <v>403.12091911764708</v>
      </c>
      <c r="D25" s="448">
        <f t="shared" si="4"/>
        <v>7.904936456089918</v>
      </c>
      <c r="E25" s="448">
        <f t="shared" si="5"/>
        <v>5.2628419434643403</v>
      </c>
      <c r="F25" s="448">
        <f t="shared" si="6"/>
        <v>292.08575987999842</v>
      </c>
      <c r="G25" s="448">
        <f t="shared" si="7"/>
        <v>0</v>
      </c>
      <c r="H25" s="448">
        <f t="shared" si="8"/>
        <v>0</v>
      </c>
      <c r="I25" s="448">
        <f t="shared" si="9"/>
        <v>0</v>
      </c>
      <c r="J25" s="448">
        <f t="shared" si="10"/>
        <v>45.332673030528994</v>
      </c>
      <c r="K25" s="448">
        <f t="shared" si="11"/>
        <v>0</v>
      </c>
      <c r="L25" s="448">
        <f t="shared" si="12"/>
        <v>0</v>
      </c>
      <c r="M25" s="448">
        <f t="shared" si="13"/>
        <v>0</v>
      </c>
      <c r="N25" s="448">
        <f t="shared" si="14"/>
        <v>0</v>
      </c>
      <c r="O25" s="448">
        <f t="shared" si="15"/>
        <v>0</v>
      </c>
      <c r="P25" s="449">
        <f t="shared" si="16"/>
        <v>0</v>
      </c>
      <c r="Q25" s="447">
        <f t="shared" ca="1" si="17"/>
        <v>966.54676599567949</v>
      </c>
    </row>
    <row r="26" spans="1:17">
      <c r="A26" s="447" t="s">
        <v>614</v>
      </c>
      <c r="B26" s="448">
        <f t="shared" ca="1" si="2"/>
        <v>1200.4341992251038</v>
      </c>
      <c r="C26" s="448">
        <f t="shared" ca="1" si="3"/>
        <v>0</v>
      </c>
      <c r="D26" s="448">
        <f t="shared" si="4"/>
        <v>1105.7144328623851</v>
      </c>
      <c r="E26" s="448">
        <f t="shared" si="5"/>
        <v>164.02922590104799</v>
      </c>
      <c r="F26" s="448">
        <f t="shared" si="6"/>
        <v>683.98008428734784</v>
      </c>
      <c r="G26" s="448">
        <f t="shared" si="7"/>
        <v>0</v>
      </c>
      <c r="H26" s="448">
        <f t="shared" si="8"/>
        <v>0</v>
      </c>
      <c r="I26" s="448">
        <f t="shared" si="9"/>
        <v>0</v>
      </c>
      <c r="J26" s="448">
        <f t="shared" si="10"/>
        <v>3.8868431588457737</v>
      </c>
      <c r="K26" s="448">
        <f t="shared" si="11"/>
        <v>0</v>
      </c>
      <c r="L26" s="448">
        <f t="shared" si="12"/>
        <v>0</v>
      </c>
      <c r="M26" s="448">
        <f t="shared" si="13"/>
        <v>0</v>
      </c>
      <c r="N26" s="448">
        <f t="shared" si="14"/>
        <v>0</v>
      </c>
      <c r="O26" s="448">
        <f t="shared" si="15"/>
        <v>0</v>
      </c>
      <c r="P26" s="449">
        <f t="shared" si="16"/>
        <v>0</v>
      </c>
      <c r="Q26" s="447">
        <f t="shared" ca="1" si="17"/>
        <v>3158.0447854347308</v>
      </c>
    </row>
    <row r="27" spans="1:17" s="453" customFormat="1">
      <c r="A27" s="451" t="s">
        <v>555</v>
      </c>
      <c r="B27" s="725">
        <f t="shared" ca="1" si="2"/>
        <v>0.92196722849265333</v>
      </c>
      <c r="C27" s="452">
        <f t="shared" ca="1" si="3"/>
        <v>0</v>
      </c>
      <c r="D27" s="452">
        <f t="shared" si="4"/>
        <v>1.0224834875831275</v>
      </c>
      <c r="E27" s="452">
        <f t="shared" si="5"/>
        <v>40.291702949269464</v>
      </c>
      <c r="F27" s="452">
        <f t="shared" si="6"/>
        <v>0</v>
      </c>
      <c r="G27" s="452">
        <f t="shared" si="7"/>
        <v>13439.872568228953</v>
      </c>
      <c r="H27" s="452">
        <f t="shared" si="8"/>
        <v>2278.0082148692659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15760.116936763565</v>
      </c>
    </row>
    <row r="28" spans="1:17">
      <c r="A28" s="447" t="s">
        <v>545</v>
      </c>
      <c r="B28" s="448">
        <f t="shared" ca="1" si="2"/>
        <v>0.60619473391912426</v>
      </c>
      <c r="C28" s="448">
        <f t="shared" ca="1" si="3"/>
        <v>0</v>
      </c>
      <c r="D28" s="448">
        <f t="shared" si="4"/>
        <v>0</v>
      </c>
      <c r="E28" s="448">
        <f t="shared" si="5"/>
        <v>0</v>
      </c>
      <c r="F28" s="448">
        <f t="shared" si="6"/>
        <v>0</v>
      </c>
      <c r="G28" s="448">
        <f t="shared" si="7"/>
        <v>165.2651544286928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165.87134916261192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123.23692673414754</v>
      </c>
      <c r="C32" s="448">
        <f t="shared" ca="1" si="3"/>
        <v>0</v>
      </c>
      <c r="D32" s="448">
        <f t="shared" si="4"/>
        <v>191.538940166804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314.77586690095154</v>
      </c>
    </row>
    <row r="33" spans="1:17" s="460" customFormat="1">
      <c r="A33" s="457" t="s">
        <v>549</v>
      </c>
      <c r="B33" s="458">
        <f ca="1">SUM(B22:B32)</f>
        <v>8749.0738881409652</v>
      </c>
      <c r="C33" s="458">
        <f t="shared" ref="C33:Q33" ca="1" si="18">SUM(C22:C32)</f>
        <v>403.12091911764708</v>
      </c>
      <c r="D33" s="458">
        <f t="shared" ca="1" si="18"/>
        <v>13055.930701505453</v>
      </c>
      <c r="E33" s="458">
        <f t="shared" si="18"/>
        <v>583.14389503142218</v>
      </c>
      <c r="F33" s="458">
        <f t="shared" ca="1" si="18"/>
        <v>14301.245667638492</v>
      </c>
      <c r="G33" s="458">
        <f t="shared" si="18"/>
        <v>13605.137722657646</v>
      </c>
      <c r="H33" s="458">
        <f t="shared" si="18"/>
        <v>2278.0082148692659</v>
      </c>
      <c r="I33" s="458">
        <f t="shared" si="18"/>
        <v>0</v>
      </c>
      <c r="J33" s="458">
        <f t="shared" si="18"/>
        <v>380.43558674337692</v>
      </c>
      <c r="K33" s="458">
        <f t="shared" si="18"/>
        <v>0</v>
      </c>
      <c r="L33" s="458">
        <f t="shared" ca="1" si="18"/>
        <v>0</v>
      </c>
      <c r="M33" s="458">
        <f t="shared" si="18"/>
        <v>0</v>
      </c>
      <c r="N33" s="458">
        <f t="shared" ca="1" si="18"/>
        <v>0</v>
      </c>
      <c r="O33" s="458">
        <f t="shared" si="18"/>
        <v>0</v>
      </c>
      <c r="P33" s="458">
        <f t="shared" si="18"/>
        <v>0</v>
      </c>
      <c r="Q33" s="458">
        <f t="shared" ca="1" si="18"/>
        <v>53356.096595704264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3366.1844514444792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3422.25</v>
      </c>
      <c r="C8" s="982">
        <f>'SEAP template'!C76</f>
        <v>1140.75</v>
      </c>
      <c r="D8" s="982">
        <f>'SEAP template'!D76</f>
        <v>0</v>
      </c>
      <c r="E8" s="982">
        <f>'SEAP template'!E76</f>
        <v>0</v>
      </c>
      <c r="F8" s="982">
        <f>'SEAP template'!F76</f>
        <v>1342.0588235294117</v>
      </c>
      <c r="G8" s="982">
        <f>'SEAP template'!G76</f>
        <v>0</v>
      </c>
      <c r="H8" s="982">
        <f>'SEAP template'!H76</f>
        <v>0</v>
      </c>
      <c r="I8" s="982">
        <f>'SEAP template'!I76</f>
        <v>4026.1764705882351</v>
      </c>
      <c r="J8" s="982">
        <f>'SEAP template'!J76</f>
        <v>0</v>
      </c>
      <c r="K8" s="982">
        <f>'SEAP template'!K76</f>
        <v>0</v>
      </c>
      <c r="L8" s="982">
        <f>'SEAP template'!L76</f>
        <v>0</v>
      </c>
      <c r="M8" s="982">
        <f>'SEAP template'!M76</f>
        <v>0</v>
      </c>
      <c r="N8" s="982">
        <f>'SEAP template'!N76</f>
        <v>0</v>
      </c>
      <c r="O8" s="982">
        <f>'SEAP template'!O76</f>
        <v>0</v>
      </c>
      <c r="P8" s="983">
        <f>'SEAP template'!Q76</f>
        <v>358.32970588235293</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6788.4344514444792</v>
      </c>
      <c r="C10" s="986">
        <f>SUM(C4:C9)</f>
        <v>1140.75</v>
      </c>
      <c r="D10" s="986">
        <f t="shared" ref="D10:H10" si="0">SUM(D8:D9)</f>
        <v>0</v>
      </c>
      <c r="E10" s="986">
        <f t="shared" si="0"/>
        <v>0</v>
      </c>
      <c r="F10" s="986">
        <f t="shared" si="0"/>
        <v>1342.0588235294117</v>
      </c>
      <c r="G10" s="986">
        <f t="shared" si="0"/>
        <v>0</v>
      </c>
      <c r="H10" s="986">
        <f t="shared" si="0"/>
        <v>0</v>
      </c>
      <c r="I10" s="986">
        <f>SUM(I8:I9)</f>
        <v>4026.1764705882351</v>
      </c>
      <c r="J10" s="986">
        <f>SUM(J8:J9)</f>
        <v>0</v>
      </c>
      <c r="K10" s="986">
        <f t="shared" ref="K10:L10" si="1">SUM(K8:K9)</f>
        <v>0</v>
      </c>
      <c r="L10" s="986">
        <f t="shared" si="1"/>
        <v>0</v>
      </c>
      <c r="M10" s="986">
        <f>SUM(M8:M9)</f>
        <v>0</v>
      </c>
      <c r="N10" s="986">
        <f>SUM(N8:N9)</f>
        <v>0</v>
      </c>
      <c r="O10" s="986">
        <f>SUM(O8:O9)</f>
        <v>0</v>
      </c>
      <c r="P10" s="986">
        <f>SUM(P8:P9)</f>
        <v>358.32970588235293</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0.19062677912357825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3850.03125</v>
      </c>
      <c r="C17" s="988">
        <f>'SEAP template'!C87</f>
        <v>1283.34375</v>
      </c>
      <c r="D17" s="983">
        <f>'SEAP template'!D87</f>
        <v>0</v>
      </c>
      <c r="E17" s="983">
        <f>'SEAP template'!E87</f>
        <v>0</v>
      </c>
      <c r="F17" s="983">
        <f>'SEAP template'!F87</f>
        <v>1509.8161764705883</v>
      </c>
      <c r="G17" s="983">
        <f>'SEAP template'!G87</f>
        <v>0</v>
      </c>
      <c r="H17" s="983">
        <f>'SEAP template'!H87</f>
        <v>0</v>
      </c>
      <c r="I17" s="983">
        <f>'SEAP template'!I87</f>
        <v>4529.4485294117649</v>
      </c>
      <c r="J17" s="983">
        <f>'SEAP template'!J87</f>
        <v>0</v>
      </c>
      <c r="K17" s="983">
        <f>'SEAP template'!K87</f>
        <v>0</v>
      </c>
      <c r="L17" s="983">
        <f>'SEAP template'!L87</f>
        <v>0</v>
      </c>
      <c r="M17" s="983">
        <f>'SEAP template'!M87</f>
        <v>0</v>
      </c>
      <c r="N17" s="983">
        <f>'SEAP template'!N87</f>
        <v>0</v>
      </c>
      <c r="O17" s="983">
        <f>'SEAP template'!O87</f>
        <v>0</v>
      </c>
      <c r="P17" s="983">
        <f>'SEAP template'!Q87</f>
        <v>403.12091911764708</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3850.03125</v>
      </c>
      <c r="C20" s="986">
        <f>SUM(C17:C19)</f>
        <v>1283.34375</v>
      </c>
      <c r="D20" s="986">
        <f t="shared" ref="D20:H20" si="2">SUM(D17:D19)</f>
        <v>0</v>
      </c>
      <c r="E20" s="986">
        <f t="shared" si="2"/>
        <v>0</v>
      </c>
      <c r="F20" s="986">
        <f t="shared" si="2"/>
        <v>1509.8161764705883</v>
      </c>
      <c r="G20" s="986">
        <f t="shared" si="2"/>
        <v>0</v>
      </c>
      <c r="H20" s="986">
        <f t="shared" si="2"/>
        <v>0</v>
      </c>
      <c r="I20" s="986">
        <f>SUM(I17:I19)</f>
        <v>4529.4485294117649</v>
      </c>
      <c r="J20" s="986">
        <f>SUM(J17:J19)</f>
        <v>0</v>
      </c>
      <c r="K20" s="986">
        <f t="shared" ref="K20:L20" si="3">SUM(K17:K19)</f>
        <v>0</v>
      </c>
      <c r="L20" s="986">
        <f t="shared" si="3"/>
        <v>0</v>
      </c>
      <c r="M20" s="986">
        <f>SUM(M17:M19)</f>
        <v>0</v>
      </c>
      <c r="N20" s="986">
        <f>SUM(N17:N19)</f>
        <v>0</v>
      </c>
      <c r="O20" s="986">
        <f>SUM(O17:O19)</f>
        <v>0</v>
      </c>
      <c r="P20" s="986">
        <f>SUM(P17:P19)</f>
        <v>403.12091911764708</v>
      </c>
    </row>
    <row r="22" spans="1:16">
      <c r="A22" s="461" t="s">
        <v>829</v>
      </c>
      <c r="B22" s="731" t="s">
        <v>823</v>
      </c>
      <c r="C22" s="731">
        <f ca="1">'EF ele_warmte'!B22</f>
        <v>7.8529411764705889E-2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0.19062677912357825</v>
      </c>
      <c r="C17" s="498">
        <f ca="1">'EF ele_warmte'!B22</f>
        <v>7.8529411764705889E-2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2022-07-26T11:56:49Z</dcterms:modified>
</cp:coreProperties>
</file>