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55DEA25-0B8B-4395-ADCA-BEA95DD277C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<sst xmlns="http://schemas.openxmlformats.org/spreadsheetml/2006/main" count="2446" uniqueCount="911">
  <si>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</si>
  <si>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</si>
  <si>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</si>
  <si>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</si>
  <si>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</si>
  <si>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</si>
  <si>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</si>
  <si>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</si>
  <si>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</si>
  <si>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</si>
  <si>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</si>
  <si>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</si>
  <si>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</si>
  <si>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</si>
  <si>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</si>
  <si>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</si>
  <si>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</si>
  <si>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</si>
  <si>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</si>
  <si>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</si>
  <si>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</si>
  <si>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</si>
  <si>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</si>
  <si>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</si>
  <si>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</si>
  <si>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</si>
  <si>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</si>
  <si>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</si>
  <si>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</si>
  <si>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</si>
  <si>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</si>
  <si>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</si>
  <si>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</si>
  <si>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</si>
  <si>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</si>
  <si>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</si>
  <si>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</si>
  <si>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</si>
  <si>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</si>
  <si>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</si>
  <si>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</si>
  <si>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</si>
  <si>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</si>
  <si>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</si>
  <si>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</si>
  <si>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</si>
  <si>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</si>
  <si>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</si>
  <si>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</si>
  <si>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</si>
  <si>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</si>
  <si>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</si>
  <si>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</si>
  <si>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</si>
  <si>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</si>
  <si>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</si>
  <si>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</si>
  <si>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</si>
  <si>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</si>
  <si>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</si>
  <si>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</si>
  <si>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</si>
  <si>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</si>
  <si>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</si>
  <si>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</si>
  <si>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</si>
  <si>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</si>
  <si>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</si>
  <si>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</si>
  <si>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</si>
  <si>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</si>
  <si>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</si>
  <si>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</si>
  <si>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</si>
  <si>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</si>
  <si>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</si>
  <si>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</si>
  <si>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</si>
  <si>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</si>
  <si>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</si>
  <si>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</si>
  <si>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</si>
  <si>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</si>
  <si>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</si>
  <si>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</si>
  <si>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</si>
  <si>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</si>
  <si>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</si>
  <si>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</si>
  <si>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</si>
  <si>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</si>
  <si>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</si>
  <si>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</si>
  <si>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</si>
  <si>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</si>
  <si>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</si>
  <si>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</si>
  <si>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</si>
  <si>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</si>
  <si>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</si>
  <si>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</si>
  <si>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</si>
  <si>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</si>
  <si>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</si>
  <si>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</si>
  <si>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</si>
  <si>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</si>
  <si>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</si>
  <si>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</si>
  <si>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</si>
  <si>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</si>
  <si>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</si>
  <si>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</si>
  <si>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</si>
  <si>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</si>
  <si>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</si>
  <si>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</si>
  <si>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</si>
  <si>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</si>
  <si>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</si>
  <si>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</si>
  <si>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</si>
  <si>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</si>
  <si>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</si>
  <si>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</si>
  <si>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</si>
  <si>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</si>
  <si>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</si>
  <si>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</si>
  <si>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</si>
  <si>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</si>
  <si>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</si>
  <si>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</si>
  <si>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</si>
  <si>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</si>
  <si>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</si>
  <si>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</si>
  <si>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</si>
  <si>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</si>
  <si>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</si>
  <si>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</si>
  <si>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</si>
  <si>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</si>
  <si>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</si>
  <si>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</si>
  <si>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</si>
  <si>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</si>
  <si>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</si>
  <si>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</si>
  <si>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</si>
  <si>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</si>
  <si>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</si>
  <si>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</si>
  <si>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</si>
  <si>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</si>
  <si>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</si>
  <si>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</si>
  <si>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</si>
  <si>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</si>
  <si>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</si>
  <si>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</si>
  <si>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</si>
  <si>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</si>
  <si>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</si>
  <si>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</si>
  <si>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</si>
  <si>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</si>
  <si>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</si>
  <si>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</si>
  <si>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</si>
  <si>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</si>
  <si>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</si>
  <si>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</si>
  <si>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</si>
  <si>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</si>
  <si>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</si>
  <si>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</si>
  <si>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</si>
  <si>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</si>
  <si>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</si>
  <si>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</si>
  <si>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</si>
  <si>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</si>
  <si>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</si>
  <si>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</si>
  <si>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</si>
  <si>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</si>
  <si>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</si>
  <si>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</si>
  <si>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</si>
  <si>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</si>
  <si>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</si>
  <si>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</si>
  <si>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</si>
  <si>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</si>
  <si>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</si>
  <si>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</si>
  <si>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</si>
  <si>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</si>
  <si>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</si>
  <si>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</si>
  <si>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</si>
  <si>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</si>
  <si>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</si>
  <si>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</si>
  <si>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</si>
  <si>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</si>
  <si>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</si>
  <si>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</si>
  <si>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</si>
  <si>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</si>
  <si>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</si>
  <si>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</si>
  <si>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</si>
  <si>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</si>
  <si>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</si>
  <si>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</si>
  <si>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</si>
  <si>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</si>
  <si>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</si>
  <si>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</si>
  <si>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</si>
  <si>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</si>
  <si>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</si>
  <si>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</si>
  <si>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</si>
  <si>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</si>
  <si>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</si>
  <si>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</si>
  <si>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</si>
  <si>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</si>
  <si>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</si>
  <si>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</si>
  <si>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</si>
  <si>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</si>
  <si>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</si>
  <si>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</si>
  <si>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</si>
  <si>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</si>
  <si>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</si>
  <si>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</si>
  <si>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</si>
  <si>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</si>
  <si>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</si>
  <si>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</si>
  <si>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</si>
  <si>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</si>
  <si>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</si>
  <si>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</si>
  <si>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</si>
  <si>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</si>
  <si>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</si>
  <si>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</si>
  <si>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</si>
  <si>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</si>
  <si>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</si>
  <si>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</si>
  <si>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</si>
  <si>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</si>
  <si>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</si>
  <si>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</si>
  <si>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</si>
  <si>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</si>
  <si>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</si>
  <si>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</si>
  <si>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</si>
  <si>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</si>
  <si>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</si>
  <si>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</si>
  <si>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</si>
  <si>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</si>
  <si>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</si>
  <si>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</si>
  <si>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</si>
  <si>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</si>
  <si>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</si>
  <si>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</si>
  <si>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</si>
  <si>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</si>
  <si>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</si>
  <si>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</si>
  <si>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</si>
  <si>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</si>
  <si>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</si>
  <si>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</si>
  <si>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</si>
  <si>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</si>
  <si>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</si>
  <si>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</si>
  <si>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</si>
  <si>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</si>
  <si>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</si>
  <si>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</si>
  <si>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</si>
  <si>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</si>
  <si>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</si>
  <si>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</si>
  <si>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</si>
  <si>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</si>
  <si>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</si>
  <si>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</si>
  <si>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</si>
  <si>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</si>
  <si>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</si>
  <si>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</si>
  <si>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</si>
  <si>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</si>
  <si>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</si>
  <si>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</si>
  <si>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</si>
  <si>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</si>
  <si>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</si>
  <si>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</si>
  <si>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</si>
  <si>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</si>
  <si>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</si>
  <si>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</si>
  <si>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</si>
  <si>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</si>
  <si>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</si>
  <si>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</si>
  <si>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</si>
  <si>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</si>
  <si>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</si>
  <si>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</si>
  <si>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</si>
  <si>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</si>
  <si>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</si>
  <si>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</si>
  <si>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</si>
  <si>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</si>
  <si>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</si>
  <si>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</si>
  <si>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</si>
  <si>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</si>
  <si>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</si>
  <si>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</si>
  <si>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</si>
  <si>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</si>
  <si>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</si>
  <si>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</si>
  <si>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</si>
  <si>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</si>
  <si>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</si>
  <si>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</si>
  <si>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</si>
  <si>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</si>
  <si>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</si>
  <si>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</si>
  <si>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</si>
  <si>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</si>
  <si>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</si>
  <si>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</si>
  <si>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</si>
  <si>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</si>
  <si>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</si>
  <si>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</si>
  <si>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</si>
  <si>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</si>
  <si>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</si>
  <si>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</si>
  <si>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</si>
  <si>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</si>
  <si>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</si>
  <si>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</si>
  <si>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</si>
  <si>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</si>
  <si>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</si>
  <si>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</si>
  <si>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</si>
  <si>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</si>
  <si>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</si>
  <si>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</si>
  <si>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</si>
  <si>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</si>
  <si>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</si>
  <si>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</si>
  <si>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</si>
  <si>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</si>
  <si>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</si>
  <si>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</si>
  <si>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</si>
  <si>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</si>
  <si>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</si>
  <si>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</si>
  <si>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</si>
  <si>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</si>
  <si>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</si>
  <si>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</si>
  <si>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</si>
  <si>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</si>
  <si>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</si>
  <si>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</si>
  <si>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</si>
  <si>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</si>
  <si>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</si>
  <si>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</si>
  <si>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</si>
  <si>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</si>
  <si>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</si>
  <si>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</si>
  <si>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</si>
  <si>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</si>
  <si>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</si>
  <si>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</si>
  <si>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</si>
  <si>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</si>
  <si>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</si>
  <si>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</si>
  <si>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</si>
  <si>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</si>
  <si>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</si>
  <si>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</si>
  <si>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</si>
  <si>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</si>
  <si>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</si>
  <si>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</si>
  <si>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</si>
  <si>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</si>
  <si>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</si>
  <si>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</si>
  <si>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</si>
  <si>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</si>
  <si>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</si>
  <si>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</si>
  <si>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</si>
  <si>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</si>
  <si>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</si>
  <si>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</si>
  <si>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</si>
  <si>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</si>
  <si>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</si>
  <si>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</si>
  <si>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</si>
  <si>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</si>
  <si>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</si>
  <si>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</si>
  <si>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</si>
  <si>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</si>
  <si>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</si>
  <si>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</si>
  <si>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</si>
  <si>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</si>
  <si>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</si>
  <si>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</si>
  <si>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</si>
  <si>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</si>
  <si>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</si>
  <si>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</si>
  <si>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</si>
  <si>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</si>
  <si>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</si>
  <si>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</si>
  <si>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</si>
  <si>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</si>
  <si>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</si>
  <si>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</si>
  <si>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</si>
  <si>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</si>
  <si>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</si>
  <si>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</si>
  <si>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</si>
  <si>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</si>
  <si>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</si>
  <si>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</si>
  <si>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</si>
  <si>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</si>
  <si>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</si>
  <si>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</si>
  <si>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</si>
  <si>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</si>
  <si>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</si>
  <si>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</si>
  <si>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</si>
  <si>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</si>
  <si>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</si>
  <si>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</si>
  <si>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</si>
  <si>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</si>
  <si>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</si>
  <si>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</si>
  <si>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</si>
  <si>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</si>
  <si>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</si>
  <si>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</si>
  <si>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</si>
  <si>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</si>
  <si>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</si>
  <si>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</si>
  <si>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</si>
  <si>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</si>
  <si>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</si>
  <si>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</si>
  <si>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</si>
  <si>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</si>
  <si>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</si>
  <si>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</si>
  <si>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</si>
  <si>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</si>
  <si>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</si>
  <si>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</si>
  <si>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</si>
  <si>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</si>
  <si>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</si>
  <si>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</si>
  <si>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</si>
  <si>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</si>
  <si>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</si>
  <si>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</si>
  <si>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</si>
  <si>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</si>
  <si>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</si>
  <si>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</si>
  <si>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</si>
  <si>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</si>
  <si>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</si>
  <si>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</si>
  <si>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</si>
  <si>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</si>
  <si>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</si>
  <si>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</si>
  <si>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</si>
  <si>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</si>
  <si>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</si>
  <si>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</si>
  <si>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</si>
  <si>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</si>
  <si>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</si>
  <si>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</si>
  <si>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</si>
  <si>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</si>
  <si>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</si>
  <si>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</si>
  <si>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</si>
  <si>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</si>
  <si>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</si>
  <si>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</si>
  <si>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</si>
  <si>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</si>
  <si>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</si>
  <si>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</si>
  <si>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</si>
  <si>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</si>
  <si>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</si>
  <si>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</si>
  <si>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</si>
  <si>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</si>
  <si>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</si>
  <si>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</si>
  <si>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</si>
  <si>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</si>
  <si>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</si>
  <si>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</si>
  <si>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</si>
  <si>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</si>
  <si>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</si>
  <si>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</si>
  <si>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</si>
  <si>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</si>
  <si>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</si>
  <si>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</si>
  <si>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</si>
  <si>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</si>
  <si>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</si>
  <si>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</si>
  <si>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</si>
  <si>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</si>
  <si>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</si>
  <si>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</si>
  <si>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</si>
  <si>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</si>
  <si>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</si>
  <si>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</si>
  <si>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</si>
  <si>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</si>
  <si>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</si>
  <si>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</si>
  <si>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</si>
  <si>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</si>
  <si>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</si>
  <si>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</si>
  <si>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</si>
  <si>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</si>
  <si>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</si>
  <si>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</si>
  <si>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</si>
  <si>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</si>
  <si>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</si>
  <si>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</si>
  <si>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</si>
  <si>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</si>
  <si>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</si>
  <si>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</si>
  <si>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</si>
  <si>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</si>
  <si>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</si>
  <si>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</si>
  <si>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</si>
  <si>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</si>
  <si>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</si>
  <si>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</si>
  <si>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</si>
  <si>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</si>
  <si>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</si>
  <si>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</si>
  <si>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</si>
  <si>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</si>
  <si>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</si>
  <si>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</si>
  <si>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</si>
  <si>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</si>
  <si>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</si>
  <si>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</si>
  <si>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</si>
  <si>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</si>
  <si>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</si>
  <si>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</si>
  <si>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</si>
  <si>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</si>
  <si>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</si>
  <si>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</si>
  <si>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</si>
  <si>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</si>
  <si>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</si>
  <si>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</si>
  <si>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</si>
  <si>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</si>
  <si>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</si>
  <si>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</si>
  <si>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</si>
  <si>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</si>
  <si>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</si>
  <si>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</si>
  <si>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</si>
  <si>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</si>
  <si>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</si>
  <si>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</si>
  <si>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</si>
  <si>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</si>
  <si>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</si>
  <si>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</si>
  <si>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</si>
  <si>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</si>
  <si>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</si>
  <si>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</si>
  <si>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</si>
  <si>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</si>
  <si>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</si>
  <si>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</si>
  <si>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</si>
  <si>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</si>
  <si>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</si>
  <si>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</si>
  <si>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</si>
  <si>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</si>
  <si>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</si>
  <si>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</si>
  <si>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</si>
  <si>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</si>
  <si>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</si>
  <si>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</si>
  <si>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</si>
  <si>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</si>
  <si>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</si>
  <si>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</si>
  <si>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</si>
  <si>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</si>
  <si>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</si>
  <si>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</si>
  <si>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</si>
  <si>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</si>
  <si>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</si>
  <si>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</si>
  <si>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</si>
  <si>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</si>
  <si>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</si>
  <si>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</si>
  <si>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</si>
  <si>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</si>
  <si>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</si>
  <si>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</si>
  <si>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</si>
  <si>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</si>
  <si>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</si>
  <si>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</si>
  <si>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</si>
  <si>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</si>
  <si>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</si>
  <si>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</si>
  <si>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</si>
  <si>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</si>
  <si>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</si>
  <si>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</si>
  <si>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</si>
  <si>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</si>
  <si>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</si>
  <si>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</si>
  <si>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</si>
  <si>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</si>
  <si>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</si>
  <si>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</si>
  <si>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</si>
  <si>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</si>
  <si>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</si>
  <si>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</si>
  <si>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</si>
  <si>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</si>
  <si>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</si>
  <si>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</si>
  <si>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</si>
  <si>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</si>
  <si>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</si>
  <si>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</si>
  <si>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</si>
  <si>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</si>
  <si>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</si>
  <si>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</si>
  <si>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</si>
  <si>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</si>
  <si>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</si>
  <si>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</si>
  <si>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</si>
  <si>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</si>
  <si>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</si>
  <si>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</si>
  <si>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</si>
  <si>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</si>
  <si>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</si>
  <si>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</si>
  <si>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</si>
  <si>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</si>
  <si>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</si>
  <si>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</si>
  <si>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</si>
  <si>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</si>
  <si>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</si>
  <si>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</si>
  <si>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</si>
  <si>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</si>
  <si>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</si>
  <si>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</si>
  <si>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</si>
  <si>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</si>
  <si>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</si>
  <si>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</si>
  <si>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</si>
  <si>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</si>
  <si>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</si>
  <si>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</si>
  <si>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</si>
  <si>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</si>
  <si>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</si>
  <si>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</si>
  <si>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</si>
  <si>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</si>
  <si>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</si>
  <si>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</si>
  <si>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</si>
  <si>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</si>
  <si>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</si>
  <si>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</si>
  <si>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</si>
  <si>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</si>
  <si>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</si>
  <si>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</si>
  <si>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</si>
  <si>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</si>
  <si>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</si>
  <si>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</si>
  <si>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</si>
  <si>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</si>
  <si>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</si>
  <si>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</si>
  <si>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</si>
  <si>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</si>
  <si>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</si>
  <si>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</si>
  <si>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</si>
  <si>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</si>
  <si>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</si>
  <si>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</si>
  <si>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</si>
  <si>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</si>
  <si>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</si>
  <si>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</si>
  <si>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</si>
  <si>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</si>
  <si>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</si>
  <si>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</si>
  <si>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</si>
  <si>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</si>
  <si>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</si>
  <si>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</si>
  <si>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</si>
  <si>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</si>
  <si>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</si>
  <si>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</si>
  <si>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</si>
  <si>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</si>
  <si>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</si>
  <si>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</si>
  <si>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</si>
  <si>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</si>
  <si>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</si>
  <si>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</si>
  <si>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</si>
  <si>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</si>
  <si>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</si>
  <si>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</si>
  <si>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</si>
  <si>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</si>
  <si>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</si>
  <si>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</si>
  <si>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</si>
  <si>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</si>
  <si>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</si>
  <si>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</si>
  <si>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</si>
  <si>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</si>
  <si>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</si>
  <si>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</si>
  <si>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</si>
  <si>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</si>
  <si>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</si>
  <si>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</si>
  <si>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</si>
  <si>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</si>
  <si>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</si>
  <si>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</si>
  <si>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</si>
  <si>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</si>
  <si>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</si>
  <si>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</si>
  <si>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</si>
  <si>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</si>
  <si>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</si>
  <si>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</si>
  <si>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</si>
  <si>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</si>
  <si>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</si>
  <si>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</si>
  <si>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</si>
  <si>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</si>
  <si>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</si>
  <si>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</si>
  <si>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</si>
  <si>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</si>
  <si>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</si>
  <si>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</si>
  <si>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</si>
  <si>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</si>
  <si>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</si>
  <si>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</si>
  <si>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</si>
  <si>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</si>
  <si>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</si>
  <si>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</si>
  <si>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</si>
  <si>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</si>
  <si>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</si>
  <si>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</si>
  <si>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</si>
  <si>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</si>
  <si>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</si>
  <si>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</si>
  <si>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</si>
  <si>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</si>
  <si>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</si>
  <si>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</si>
  <si>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</si>
  <si>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</si>
  <si>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</si>
  <si>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</si>
  <si>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</si>
  <si>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</si>
  <si>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</si>
  <si>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</si>
  <si>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</si>
  <si>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</si>
  <si>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</si>
  <si>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</si>
  <si>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</si>
  <si>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</si>
  <si>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</si>
  <si>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</si>
  <si>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</si>
  <si>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</si>
  <si>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</si>
  <si>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</si>
  <si>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</si>
  <si>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</si>
  <si>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</si>
  <si>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</si>
  <si>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</si>
  <si>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</si>
  <si>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</si>
  <si>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</si>
  <si>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</si>
  <si>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</si>
  <si>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</si>
  <si>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</si>
  <si>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</si>
  <si>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23052</t>
  </si>
  <si>
    <t>MERCHTEM</t>
  </si>
  <si>
    <t>Cultuurgrond (ha)</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</si>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</sst>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26F4C0A-2B4E-48F1-BF61-3B0EB06FEE6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161309.01053015163</c:v>
                </c:pt>
                <c:pt idx="1">
                  <c:v>39065.168971501458</c:v>
                </c:pt>
                <c:pt idx="2">
                  <c:v>854.00900000000001</c:v>
                </c:pt>
                <c:pt idx="3">
                  <c:v>13201.105368582723</c:v>
                </c:pt>
                <c:pt idx="4">
                  <c:v>9039.3003025446487</c:v>
                </c:pt>
                <c:pt idx="5">
                  <c:v>76664.028979543786</c:v>
                </c:pt>
                <c:pt idx="6">
                  <c:v>1600.107214107114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161309.01053015163</c:v>
                </c:pt>
                <c:pt idx="1">
                  <c:v>39065.168971501458</c:v>
                </c:pt>
                <c:pt idx="2">
                  <c:v>854.00900000000001</c:v>
                </c:pt>
                <c:pt idx="3">
                  <c:v>13201.105368582723</c:v>
                </c:pt>
                <c:pt idx="4">
                  <c:v>9039.3003025446487</c:v>
                </c:pt>
                <c:pt idx="5">
                  <c:v>76664.028979543786</c:v>
                </c:pt>
                <c:pt idx="6">
                  <c:v>1600.107214107114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34684.457410627489</c:v>
                </c:pt>
                <c:pt idx="2">
                  <c:v>7824.0243429874445</c:v>
                </c:pt>
                <c:pt idx="3">
                  <c:v>176.64943867776955</c:v>
                </c:pt>
                <c:pt idx="4">
                  <c:v>3352.6752159274515</c:v>
                </c:pt>
                <c:pt idx="5">
                  <c:v>1893.3838290655481</c:v>
                </c:pt>
                <c:pt idx="6">
                  <c:v>19327.737823060954</c:v>
                </c:pt>
                <c:pt idx="7">
                  <c:v>408.51225443339456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34684.457410627489</c:v>
                </c:pt>
                <c:pt idx="2">
                  <c:v>7824.0243429874445</c:v>
                </c:pt>
                <c:pt idx="3">
                  <c:v>176.64943867776955</c:v>
                </c:pt>
                <c:pt idx="4">
                  <c:v>3352.6752159274515</c:v>
                </c:pt>
                <c:pt idx="5">
                  <c:v>1893.3838290655481</c:v>
                </c:pt>
                <c:pt idx="6">
                  <c:v>19327.737823060954</c:v>
                </c:pt>
                <c:pt idx="7">
                  <c:v>408.51225443339456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23052</v>
      </c>
      <c r="B6" s="385"/>
      <c r="C6" s="386"/>
    </row>
    <row r="7" spans="1:7" s="383" customFormat="1" ht="15.75" customHeight="1">
      <c r="A7" s="387" t="str">
        <f>txtMunicipality</f>
        <v>MERCHTEM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0.20684727992066776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0.20684727992066776</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6634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2239</v>
      </c>
      <c r="C14" s="327"/>
      <c r="D14" s="327"/>
      <c r="E14" s="327"/>
      <c r="F14" s="327"/>
    </row>
    <row r="15" spans="1:6">
      <c r="A15" s="1258" t="s">
        <v>177</v>
      </c>
      <c r="B15" s="1259">
        <v>27</v>
      </c>
      <c r="C15" s="327"/>
      <c r="D15" s="327"/>
      <c r="E15" s="327"/>
      <c r="F15" s="327"/>
    </row>
    <row r="16" spans="1:6">
      <c r="A16" s="1258" t="s">
        <v>6</v>
      </c>
      <c r="B16" s="1259">
        <v>1150</v>
      </c>
      <c r="C16" s="327"/>
      <c r="D16" s="327"/>
      <c r="E16" s="327"/>
      <c r="F16" s="327"/>
    </row>
    <row r="17" spans="1:6">
      <c r="A17" s="1258" t="s">
        <v>7</v>
      </c>
      <c r="B17" s="1259">
        <v>552</v>
      </c>
      <c r="C17" s="327"/>
      <c r="D17" s="327"/>
      <c r="E17" s="327"/>
      <c r="F17" s="327"/>
    </row>
    <row r="18" spans="1:6">
      <c r="A18" s="1258" t="s">
        <v>8</v>
      </c>
      <c r="B18" s="1259">
        <v>1030</v>
      </c>
      <c r="C18" s="327"/>
      <c r="D18" s="327"/>
      <c r="E18" s="327"/>
      <c r="F18" s="327"/>
    </row>
    <row r="19" spans="1:6">
      <c r="A19" s="1258" t="s">
        <v>9</v>
      </c>
      <c r="B19" s="1259">
        <v>841</v>
      </c>
      <c r="C19" s="327"/>
      <c r="D19" s="327"/>
      <c r="E19" s="327"/>
      <c r="F19" s="327"/>
    </row>
    <row r="20" spans="1:6">
      <c r="A20" s="1258" t="s">
        <v>10</v>
      </c>
      <c r="B20" s="1259">
        <v>633</v>
      </c>
      <c r="C20" s="327"/>
      <c r="D20" s="327"/>
      <c r="E20" s="327"/>
      <c r="F20" s="327"/>
    </row>
    <row r="21" spans="1:6">
      <c r="A21" s="1258" t="s">
        <v>11</v>
      </c>
      <c r="B21" s="1259">
        <v>308</v>
      </c>
      <c r="C21" s="327"/>
      <c r="D21" s="327"/>
      <c r="E21" s="327"/>
      <c r="F21" s="327"/>
    </row>
    <row r="22" spans="1:6">
      <c r="A22" s="1258" t="s">
        <v>12</v>
      </c>
      <c r="B22" s="1259">
        <v>2057</v>
      </c>
      <c r="C22" s="327"/>
      <c r="D22" s="327"/>
      <c r="E22" s="327"/>
      <c r="F22" s="327"/>
    </row>
    <row r="23" spans="1:6">
      <c r="A23" s="1258" t="s">
        <v>13</v>
      </c>
      <c r="B23" s="1259">
        <v>15</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207</v>
      </c>
      <c r="C26" s="327"/>
      <c r="D26" s="327"/>
      <c r="E26" s="327"/>
      <c r="F26" s="327"/>
    </row>
    <row r="27" spans="1:6">
      <c r="A27" s="1258" t="s">
        <v>17</v>
      </c>
      <c r="B27" s="1259">
        <v>6</v>
      </c>
      <c r="C27" s="327"/>
      <c r="D27" s="327"/>
      <c r="E27" s="327"/>
      <c r="F27" s="327"/>
    </row>
    <row r="28" spans="1:6">
      <c r="A28" s="1258" t="s">
        <v>18</v>
      </c>
      <c r="B28" s="1260">
        <v>160058</v>
      </c>
      <c r="C28" s="327"/>
      <c r="D28" s="327"/>
      <c r="E28" s="327"/>
      <c r="F28" s="327"/>
    </row>
    <row r="29" spans="1:6">
      <c r="A29" s="1258" t="s">
        <v>905</v>
      </c>
      <c r="B29" s="1260">
        <v>77</v>
      </c>
      <c r="C29" s="327"/>
      <c r="D29" s="327"/>
      <c r="E29" s="327"/>
      <c r="F29" s="327"/>
    </row>
    <row r="30" spans="1:6">
      <c r="A30" s="1253" t="s">
        <v>906</v>
      </c>
      <c r="B30" s="1261">
        <v>36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2744</v>
      </c>
    </row>
    <row r="37" spans="1:6">
      <c r="A37" s="1258" t="s">
        <v>24</v>
      </c>
      <c r="B37" s="1258" t="s">
        <v>27</v>
      </c>
      <c r="C37" s="1259">
        <v>0</v>
      </c>
      <c r="D37" s="1259">
        <v>0</v>
      </c>
      <c r="E37" s="1259">
        <v>0</v>
      </c>
      <c r="F37" s="1259">
        <v>0</v>
      </c>
    </row>
    <row r="38" spans="1:6">
      <c r="A38" s="1258" t="s">
        <v>24</v>
      </c>
      <c r="B38" s="1258" t="s">
        <v>28</v>
      </c>
      <c r="C38" s="1259">
        <v>2</v>
      </c>
      <c r="D38" s="1259">
        <v>12862.427452219799</v>
      </c>
      <c r="E38" s="1259">
        <v>3</v>
      </c>
      <c r="F38" s="1259">
        <v>15952.7032864752</v>
      </c>
    </row>
    <row r="39" spans="1:6">
      <c r="A39" s="1258" t="s">
        <v>29</v>
      </c>
      <c r="B39" s="1258" t="s">
        <v>30</v>
      </c>
      <c r="C39" s="1259">
        <v>3212</v>
      </c>
      <c r="D39" s="1259">
        <v>56759484.218996301</v>
      </c>
      <c r="E39" s="1259">
        <v>6537</v>
      </c>
      <c r="F39" s="1259">
        <v>30227577.7272599</v>
      </c>
    </row>
    <row r="40" spans="1:6">
      <c r="A40" s="1258" t="s">
        <v>29</v>
      </c>
      <c r="B40" s="1258" t="s">
        <v>28</v>
      </c>
      <c r="C40" s="1259">
        <v>0</v>
      </c>
      <c r="D40" s="1259">
        <v>0</v>
      </c>
      <c r="E40" s="1259">
        <v>0</v>
      </c>
      <c r="F40" s="1259">
        <v>0</v>
      </c>
    </row>
    <row r="41" spans="1:6">
      <c r="A41" s="1258" t="s">
        <v>31</v>
      </c>
      <c r="B41" s="1258" t="s">
        <v>32</v>
      </c>
      <c r="C41" s="1259">
        <v>29</v>
      </c>
      <c r="D41" s="1259">
        <v>731096.16528565204</v>
      </c>
      <c r="E41" s="1259">
        <v>114</v>
      </c>
      <c r="F41" s="1259">
        <v>709100.69620192004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33620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128082.82633641901</v>
      </c>
      <c r="E47" s="1259">
        <v>4</v>
      </c>
      <c r="F47" s="1259">
        <v>461241.14367428003</v>
      </c>
    </row>
    <row r="48" spans="1:6">
      <c r="A48" s="1258" t="s">
        <v>31</v>
      </c>
      <c r="B48" s="1258" t="s">
        <v>28</v>
      </c>
      <c r="C48" s="1259">
        <v>19</v>
      </c>
      <c r="D48" s="1259">
        <v>1078690.63682346</v>
      </c>
      <c r="E48" s="1259">
        <v>37</v>
      </c>
      <c r="F48" s="1259">
        <v>2054463.2353016499</v>
      </c>
    </row>
    <row r="49" spans="1:6">
      <c r="A49" s="1258" t="s">
        <v>31</v>
      </c>
      <c r="B49" s="1258" t="s">
        <v>39</v>
      </c>
      <c r="C49" s="1259">
        <v>0</v>
      </c>
      <c r="D49" s="1259">
        <v>0</v>
      </c>
      <c r="E49" s="1259">
        <v>0</v>
      </c>
      <c r="F49" s="1259">
        <v>0</v>
      </c>
    </row>
    <row r="50" spans="1:6">
      <c r="A50" s="1258" t="s">
        <v>31</v>
      </c>
      <c r="B50" s="1258" t="s">
        <v>40</v>
      </c>
      <c r="C50" s="1259">
        <v>11</v>
      </c>
      <c r="D50" s="1259">
        <v>822871.11277923395</v>
      </c>
      <c r="E50" s="1259">
        <v>15</v>
      </c>
      <c r="F50" s="1259">
        <v>604736.09852583904</v>
      </c>
    </row>
    <row r="51" spans="1:6">
      <c r="A51" s="1258" t="s">
        <v>41</v>
      </c>
      <c r="B51" s="1258" t="s">
        <v>42</v>
      </c>
      <c r="C51" s="1259">
        <v>3</v>
      </c>
      <c r="D51" s="1259">
        <v>64314.954399974798</v>
      </c>
      <c r="E51" s="1259">
        <v>108</v>
      </c>
      <c r="F51" s="1259">
        <v>2554877.3091849098</v>
      </c>
    </row>
    <row r="52" spans="1:6">
      <c r="A52" s="1258" t="s">
        <v>41</v>
      </c>
      <c r="B52" s="1258" t="s">
        <v>28</v>
      </c>
      <c r="C52" s="1259">
        <v>7</v>
      </c>
      <c r="D52" s="1259">
        <v>178737.883627826</v>
      </c>
      <c r="E52" s="1259">
        <v>9</v>
      </c>
      <c r="F52" s="1259">
        <v>211919.80069901701</v>
      </c>
    </row>
    <row r="53" spans="1:6">
      <c r="A53" s="1258" t="s">
        <v>43</v>
      </c>
      <c r="B53" s="1258" t="s">
        <v>44</v>
      </c>
      <c r="C53" s="1259">
        <v>84</v>
      </c>
      <c r="D53" s="1259">
        <v>1668009.36619518</v>
      </c>
      <c r="E53" s="1259">
        <v>238</v>
      </c>
      <c r="F53" s="1259">
        <v>1006956.18031198</v>
      </c>
    </row>
    <row r="54" spans="1:6">
      <c r="A54" s="1258" t="s">
        <v>45</v>
      </c>
      <c r="B54" s="1258" t="s">
        <v>46</v>
      </c>
      <c r="C54" s="1259">
        <v>0</v>
      </c>
      <c r="D54" s="1259">
        <v>0</v>
      </c>
      <c r="E54" s="1259">
        <v>1</v>
      </c>
      <c r="F54" s="1259">
        <v>854009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39</v>
      </c>
      <c r="D57" s="1259">
        <v>1879973.4811875401</v>
      </c>
      <c r="E57" s="1259">
        <v>75</v>
      </c>
      <c r="F57" s="1259">
        <v>1850388.87314987</v>
      </c>
    </row>
    <row r="58" spans="1:6">
      <c r="A58" s="1258" t="s">
        <v>48</v>
      </c>
      <c r="B58" s="1258" t="s">
        <v>50</v>
      </c>
      <c r="C58" s="1259">
        <v>13</v>
      </c>
      <c r="D58" s="1259">
        <v>337910.34382829</v>
      </c>
      <c r="E58" s="1259">
        <v>39</v>
      </c>
      <c r="F58" s="1259">
        <v>314190.238700243</v>
      </c>
    </row>
    <row r="59" spans="1:6">
      <c r="A59" s="1258" t="s">
        <v>48</v>
      </c>
      <c r="B59" s="1258" t="s">
        <v>51</v>
      </c>
      <c r="C59" s="1259">
        <v>76</v>
      </c>
      <c r="D59" s="1259">
        <v>4690435.1656547198</v>
      </c>
      <c r="E59" s="1259">
        <v>230</v>
      </c>
      <c r="F59" s="1259">
        <v>5863909.3851480102</v>
      </c>
    </row>
    <row r="60" spans="1:6">
      <c r="A60" s="1258" t="s">
        <v>48</v>
      </c>
      <c r="B60" s="1258" t="s">
        <v>52</v>
      </c>
      <c r="C60" s="1259">
        <v>37</v>
      </c>
      <c r="D60" s="1259">
        <v>1800720.6294370401</v>
      </c>
      <c r="E60" s="1259">
        <v>77</v>
      </c>
      <c r="F60" s="1259">
        <v>1375770.7169367999</v>
      </c>
    </row>
    <row r="61" spans="1:6">
      <c r="A61" s="1258" t="s">
        <v>48</v>
      </c>
      <c r="B61" s="1258" t="s">
        <v>53</v>
      </c>
      <c r="C61" s="1259">
        <v>100</v>
      </c>
      <c r="D61" s="1259">
        <v>6637138.4199178396</v>
      </c>
      <c r="E61" s="1259">
        <v>288</v>
      </c>
      <c r="F61" s="1259">
        <v>3882119.4149281401</v>
      </c>
    </row>
    <row r="62" spans="1:6">
      <c r="A62" s="1258" t="s">
        <v>48</v>
      </c>
      <c r="B62" s="1258" t="s">
        <v>54</v>
      </c>
      <c r="C62" s="1259">
        <v>7</v>
      </c>
      <c r="D62" s="1259">
        <v>1140339.70267474</v>
      </c>
      <c r="E62" s="1259">
        <v>7</v>
      </c>
      <c r="F62" s="1259">
        <v>215311.20256137601</v>
      </c>
    </row>
    <row r="63" spans="1:6">
      <c r="A63" s="1258" t="s">
        <v>48</v>
      </c>
      <c r="B63" s="1258" t="s">
        <v>28</v>
      </c>
      <c r="C63" s="1259">
        <v>88</v>
      </c>
      <c r="D63" s="1259">
        <v>6050545.0311461696</v>
      </c>
      <c r="E63" s="1259">
        <v>88</v>
      </c>
      <c r="F63" s="1259">
        <v>1847756.48837225</v>
      </c>
    </row>
    <row r="64" spans="1:6">
      <c r="A64" s="1258" t="s">
        <v>55</v>
      </c>
      <c r="B64" s="1258" t="s">
        <v>56</v>
      </c>
      <c r="C64" s="1259">
        <v>0</v>
      </c>
      <c r="D64" s="1259">
        <v>0</v>
      </c>
      <c r="E64" s="1259">
        <v>0</v>
      </c>
      <c r="F64" s="1259">
        <v>0</v>
      </c>
    </row>
    <row r="65" spans="1:6">
      <c r="A65" s="1258" t="s">
        <v>55</v>
      </c>
      <c r="B65" s="1258" t="s">
        <v>28</v>
      </c>
      <c r="C65" s="1259">
        <v>1</v>
      </c>
      <c r="D65" s="1259">
        <v>22036.8455061276</v>
      </c>
      <c r="E65" s="1259">
        <v>2</v>
      </c>
      <c r="F65" s="1259">
        <v>10049.658309926799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177731.78235591899</v>
      </c>
      <c r="E68" s="1261">
        <v>18</v>
      </c>
      <c r="F68" s="1261">
        <v>109284.30894960499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32015670</v>
      </c>
      <c r="E73" s="446"/>
      <c r="F73" s="327"/>
    </row>
    <row r="74" spans="1:6">
      <c r="A74" s="1258" t="s">
        <v>63</v>
      </c>
      <c r="B74" s="1258" t="s">
        <v>681</v>
      </c>
      <c r="C74" s="1271" t="s">
        <v>682</v>
      </c>
      <c r="D74" s="1259">
        <v>883216.48078114912</v>
      </c>
      <c r="E74" s="446"/>
      <c r="F74" s="327"/>
    </row>
    <row r="75" spans="1:6">
      <c r="A75" s="1258" t="s">
        <v>64</v>
      </c>
      <c r="B75" s="1258" t="s">
        <v>679</v>
      </c>
      <c r="C75" s="1271" t="s">
        <v>683</v>
      </c>
      <c r="D75" s="1259">
        <v>51576693</v>
      </c>
      <c r="E75" s="446"/>
      <c r="F75" s="327"/>
    </row>
    <row r="76" spans="1:6">
      <c r="A76" s="1258" t="s">
        <v>64</v>
      </c>
      <c r="B76" s="1258" t="s">
        <v>681</v>
      </c>
      <c r="C76" s="1271" t="s">
        <v>684</v>
      </c>
      <c r="D76" s="1259">
        <v>1860694.4807811491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423501.0384377017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2612.9097186998729</v>
      </c>
      <c r="C91" s="327"/>
      <c r="D91" s="327"/>
      <c r="E91" s="327"/>
      <c r="F91" s="327"/>
    </row>
    <row r="92" spans="1:6">
      <c r="A92" s="1253" t="s">
        <v>68</v>
      </c>
      <c r="B92" s="1254">
        <v>974.16313642939679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1490</v>
      </c>
      <c r="C97" s="327"/>
      <c r="D97" s="327"/>
      <c r="E97" s="327"/>
      <c r="F97" s="327"/>
    </row>
    <row r="98" spans="1:6">
      <c r="A98" s="1258" t="s">
        <v>71</v>
      </c>
      <c r="B98" s="1259">
        <v>2</v>
      </c>
      <c r="C98" s="327"/>
      <c r="D98" s="327"/>
      <c r="E98" s="327"/>
      <c r="F98" s="327"/>
    </row>
    <row r="99" spans="1:6">
      <c r="A99" s="1258" t="s">
        <v>72</v>
      </c>
      <c r="B99" s="1259">
        <v>41</v>
      </c>
      <c r="C99" s="327"/>
      <c r="D99" s="327"/>
      <c r="E99" s="327"/>
      <c r="F99" s="327"/>
    </row>
    <row r="100" spans="1:6">
      <c r="A100" s="1258" t="s">
        <v>73</v>
      </c>
      <c r="B100" s="1259">
        <v>697</v>
      </c>
      <c r="C100" s="327"/>
      <c r="D100" s="327"/>
      <c r="E100" s="327"/>
      <c r="F100" s="327"/>
    </row>
    <row r="101" spans="1:6">
      <c r="A101" s="1258" t="s">
        <v>74</v>
      </c>
      <c r="B101" s="1259">
        <v>39</v>
      </c>
      <c r="C101" s="327"/>
      <c r="D101" s="327"/>
      <c r="E101" s="327"/>
      <c r="F101" s="327"/>
    </row>
    <row r="102" spans="1:6">
      <c r="A102" s="1258" t="s">
        <v>75</v>
      </c>
      <c r="B102" s="1259">
        <v>62</v>
      </c>
      <c r="C102" s="327"/>
      <c r="D102" s="327"/>
      <c r="E102" s="327"/>
      <c r="F102" s="327"/>
    </row>
    <row r="103" spans="1:6">
      <c r="A103" s="1258" t="s">
        <v>76</v>
      </c>
      <c r="B103" s="1259">
        <v>137</v>
      </c>
      <c r="C103" s="327"/>
      <c r="D103" s="327"/>
      <c r="E103" s="327"/>
      <c r="F103" s="327"/>
    </row>
    <row r="104" spans="1:6">
      <c r="A104" s="1258" t="s">
        <v>77</v>
      </c>
      <c r="B104" s="1259">
        <v>3027</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2</v>
      </c>
      <c r="C121" s="1259">
        <v>0</v>
      </c>
      <c r="D121" s="327"/>
      <c r="E121" s="327"/>
      <c r="F121" s="327"/>
    </row>
    <row r="122" spans="1:6">
      <c r="A122" s="1258" t="s">
        <v>86</v>
      </c>
      <c r="B122" s="1259">
        <v>0</v>
      </c>
      <c r="C122" s="1259">
        <v>0</v>
      </c>
      <c r="D122" s="327"/>
      <c r="E122" s="327"/>
      <c r="F122" s="327"/>
    </row>
    <row r="123" spans="1:6">
      <c r="A123" s="1258" t="s">
        <v>87</v>
      </c>
      <c r="B123" s="1259">
        <v>17</v>
      </c>
      <c r="C123" s="1259">
        <v>9</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69</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18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56695.0908719894</v>
      </c>
      <c r="C3" s="43" t="s">
        <v>163</v>
      </c>
      <c r="D3" s="43"/>
      <c r="E3" s="156"/>
      <c r="F3" s="43"/>
      <c r="G3" s="43"/>
      <c r="H3" s="43"/>
      <c r="I3" s="43"/>
      <c r="J3" s="43"/>
      <c r="K3" s="96"/>
    </row>
    <row r="4" spans="1:11">
      <c r="A4" s="353" t="s">
        <v>164</v>
      </c>
      <c r="B4" s="49">
        <f>IF(ISERROR('SEAP template'!B78+'SEAP template'!C78),0,'SEAP template'!B78+'SEAP template'!C78)</f>
        <v>3630.7228551292696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0.20684727992066776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62.357142857142847</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854.00900000000001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854.00900000000001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0.20684727992066776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176.64943867776955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30227.577727259901</v>
      </c>
      <c r="C5" s="17">
        <f>IF(ISERROR('Eigen informatie GS &amp; warmtenet'!B57),0,'Eigen informatie GS &amp; warmtenet'!B57)</f>
        <v>0</v>
      </c>
      <c r="D5" s="30">
        <f>(SUM(HH_hh_gas_kWh,HH_rest_gas_kWh)/1000)*0.902</f>
        <v>51197.054765534667</v>
      </c>
      <c r="E5" s="17">
        <f>B32*B41</f>
        <v>2037.1577848148982</v>
      </c>
      <c r="F5" s="17">
        <f>B36*B45</f>
        <v>62429.663395425196</v>
      </c>
      <c r="G5" s="18"/>
      <c r="H5" s="17"/>
      <c r="I5" s="17"/>
      <c r="J5" s="17">
        <f>B35*B44+C35*C44</f>
        <v>1182.2935163626057</v>
      </c>
      <c r="K5" s="17"/>
      <c r="L5" s="17"/>
      <c r="M5" s="17"/>
      <c r="N5" s="17">
        <f>B34*B43+C34*C43</f>
        <v>10833.080288721125</v>
      </c>
      <c r="O5" s="17">
        <f>B52*B53*B54</f>
        <v>121.94000000000001</v>
      </c>
      <c r="P5" s="17">
        <f>B60*B61*B62/1000-B60*B61*B62/1000/B63</f>
        <v>667.33333333333337</v>
      </c>
    </row>
    <row r="6" spans="1:16">
      <c r="A6" s="16" t="s">
        <v>592</v>
      </c>
      <c r="B6" s="733">
        <f>kWh_PV_kleiner_dan_10kW</f>
        <v>2612.9097186998729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32840.48744595977</v>
      </c>
      <c r="C8" s="21">
        <f>C5</f>
        <v>0</v>
      </c>
      <c r="D8" s="21">
        <f>D5</f>
        <v>51197.054765534667</v>
      </c>
      <c r="E8" s="21">
        <f>E5</f>
        <v>2037.1577848148982</v>
      </c>
      <c r="F8" s="21">
        <f>F5</f>
        <v>62429.663395425196</v>
      </c>
      <c r="G8" s="21"/>
      <c r="H8" s="21"/>
      <c r="I8" s="21"/>
      <c r="J8" s="21">
        <f>J5</f>
        <v>1182.2935163626057</v>
      </c>
      <c r="K8" s="21"/>
      <c r="L8" s="21">
        <f>L5</f>
        <v>0</v>
      </c>
      <c r="M8" s="21">
        <f>M5</f>
        <v>0</v>
      </c>
      <c r="N8" s="21">
        <f>N5</f>
        <v>10833.080288721125</v>
      </c>
      <c r="O8" s="21">
        <f>O5</f>
        <v>121.94000000000001</v>
      </c>
      <c r="P8" s="21">
        <f>P5</f>
        <v>667.33333333333337</v>
      </c>
    </row>
    <row r="9" spans="1:16">
      <c r="B9" s="19"/>
      <c r="C9" s="19"/>
      <c r="D9" s="257"/>
      <c r="E9" s="19"/>
      <c r="F9" s="19"/>
      <c r="G9" s="19"/>
      <c r="H9" s="19"/>
      <c r="I9" s="19"/>
      <c r="J9" s="19"/>
      <c r="K9" s="19"/>
      <c r="L9" s="19"/>
      <c r="M9" s="19"/>
      <c r="N9" s="19"/>
      <c r="O9" s="19"/>
      <c r="P9" s="19"/>
    </row>
    <row r="10" spans="1:16">
      <c r="A10" s="24" t="s">
        <v>207</v>
      </c>
      <c r="B10" s="25">
        <f ca="1">'EF ele_warmte'!B12</f>
        <v>0.20684727992066776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6792.9654994656157</v>
      </c>
      <c r="C12" s="23">
        <f ca="1">C10*C8</f>
        <v>0</v>
      </c>
      <c r="D12" s="23">
        <f>D8*D10</f>
        <v>10341.805062638003</v>
      </c>
      <c r="E12" s="23">
        <f>E10*E8</f>
        <v>462.43481715298191</v>
      </c>
      <c r="F12" s="23">
        <f>F10*F8</f>
        <v>16668.72012657853</v>
      </c>
      <c r="G12" s="23"/>
      <c r="H12" s="23"/>
      <c r="I12" s="23"/>
      <c r="J12" s="23">
        <f>J10*J8</f>
        <v>418.53190479236241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6634</v>
      </c>
      <c r="C26" s="36"/>
      <c r="D26" s="227"/>
    </row>
    <row r="27" spans="1:5" s="15" customFormat="1">
      <c r="A27" s="229" t="s">
        <v>697</v>
      </c>
      <c r="B27" s="37">
        <f>SUM(HH_hh_gas_aantal,HH_rest_gas_aantal)</f>
        <v>3212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3051.4</v>
      </c>
      <c r="C31" s="34" t="s">
        <v>104</v>
      </c>
      <c r="D31" s="173"/>
    </row>
    <row r="32" spans="1:5">
      <c r="A32" s="170" t="s">
        <v>72</v>
      </c>
      <c r="B32" s="33">
        <f>IF((B21*($B$26-($B$27-0.05*$B$27)-$B$60))&lt;0,0,B21*($B$26-($B$27-0.05*$B$27)-$B$60))</f>
        <v>88.83744555201902</v>
      </c>
      <c r="C32" s="34" t="s">
        <v>104</v>
      </c>
      <c r="D32" s="173"/>
    </row>
    <row r="33" spans="1:6">
      <c r="A33" s="170" t="s">
        <v>73</v>
      </c>
      <c r="B33" s="33">
        <f>IF((B22*($B$26-($B$27-0.05*$B$27)-$B$60))&lt;0,0,B22*($B$26-($B$27-0.05*$B$27)-$B$60))</f>
        <v>597.98020063085903</v>
      </c>
      <c r="C33" s="34" t="s">
        <v>104</v>
      </c>
      <c r="D33" s="173"/>
    </row>
    <row r="34" spans="1:6">
      <c r="A34" s="170" t="s">
        <v>74</v>
      </c>
      <c r="B34" s="33">
        <f>IF((B24*($B$26-($B$27-0.05*$B$27)-$B$60))&lt;0,0,B24*($B$26-($B$27-0.05*$B$27)-$B$60))</f>
        <v>151.7156822333414</v>
      </c>
      <c r="C34" s="33">
        <f>B26*C24</f>
        <v>1357.051488649319</v>
      </c>
      <c r="D34" s="232"/>
    </row>
    <row r="35" spans="1:6">
      <c r="A35" s="170" t="s">
        <v>76</v>
      </c>
      <c r="B35" s="33">
        <f>IF((B19*($B$26-($B$27-0.05*$B$27)-$B$60))&lt;0,0,B19*($B$26-($B$27-0.05*$B$27)-$B$60))</f>
        <v>56.382531029877093</v>
      </c>
      <c r="C35" s="33">
        <f>B35/2</f>
        <v>28.191265514938546</v>
      </c>
      <c r="D35" s="232"/>
    </row>
    <row r="36" spans="1:6">
      <c r="A36" s="170" t="s">
        <v>77</v>
      </c>
      <c r="B36" s="33">
        <f>IF((B18*($B$26-($B$27-0.05*$B$27)-$B$60))&lt;0,0,B18*($B$26-($B$27-0.05*$B$27)-$B$60))</f>
        <v>2652.6841405539035</v>
      </c>
      <c r="C36" s="34" t="s">
        <v>104</v>
      </c>
      <c r="D36" s="173"/>
    </row>
    <row r="37" spans="1:6">
      <c r="A37" s="170" t="s">
        <v>78</v>
      </c>
      <c r="B37" s="33">
        <f>B60</f>
        <v>35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15349.446319796689</v>
      </c>
      <c r="C5" s="17">
        <f>IF(ISERROR('Eigen informatie GS &amp; warmtenet'!B58),0,'Eigen informatie GS &amp; warmtenet'!B58)</f>
        <v>0</v>
      </c>
      <c r="D5" s="30">
        <f>SUM(D6:D12)</f>
        <v>20328.4306220094</v>
      </c>
      <c r="E5" s="17">
        <f>SUM(E6:E12)</f>
        <v>89.083319844241444</v>
      </c>
      <c r="F5" s="17">
        <f>SUM(F6:F12)</f>
        <v>1932.069929184207</v>
      </c>
      <c r="G5" s="18"/>
      <c r="H5" s="17"/>
      <c r="I5" s="17"/>
      <c r="J5" s="17">
        <f>SUM(J6:J12)</f>
        <v>18.659754538050525</v>
      </c>
      <c r="K5" s="17"/>
      <c r="L5" s="17"/>
      <c r="M5" s="17"/>
      <c r="N5" s="17">
        <f>SUM(N6:N12)</f>
        <v>1287.1523594622035</v>
      </c>
      <c r="O5" s="17">
        <f>B38*B39*B40</f>
        <v>3.1266666666666669</v>
      </c>
      <c r="P5" s="17">
        <f>B46*B47*B48/1000-B46*B47*B48/1000/B49</f>
        <v>57.2</v>
      </c>
      <c r="R5" s="32"/>
    </row>
    <row r="6" spans="1:18">
      <c r="A6" s="32" t="s">
        <v>53</v>
      </c>
      <c r="B6" s="37">
        <f>B26</f>
        <v>3882.11941492814</v>
      </c>
      <c r="C6" s="33"/>
      <c r="D6" s="37">
        <f>IF(ISERROR(TER_kantoor_gas_kWh/1000),0,TER_kantoor_gas_kWh/1000)*0.902</f>
        <v>5986.6988547658912</v>
      </c>
      <c r="E6" s="33">
        <f>$C$26*'E Balans VL '!I12/100/3.6*1000000</f>
        <v>32.768473811093564</v>
      </c>
      <c r="F6" s="33">
        <f>$C$26*('E Balans VL '!L12+'E Balans VL '!N12)/100/3.6*1000000</f>
        <v>520.54923038306617</v>
      </c>
      <c r="G6" s="34"/>
      <c r="H6" s="33"/>
      <c r="I6" s="33"/>
      <c r="J6" s="33">
        <f>$C$26*('E Balans VL '!D12+'E Balans VL '!E12)/100/3.6*1000000</f>
        <v>0</v>
      </c>
      <c r="K6" s="33"/>
      <c r="L6" s="33"/>
      <c r="M6" s="33"/>
      <c r="N6" s="33">
        <f>$C$26*'E Balans VL '!Y12/100/3.6*1000000</f>
        <v>34.142039591068674</v>
      </c>
      <c r="O6" s="33"/>
      <c r="P6" s="33"/>
      <c r="R6" s="32"/>
    </row>
    <row r="7" spans="1:18">
      <c r="A7" s="32" t="s">
        <v>52</v>
      </c>
      <c r="B7" s="37">
        <f t="shared" ref="B7:B12" si="0">B27</f>
        <v>1375.7707169368</v>
      </c>
      <c r="C7" s="33"/>
      <c r="D7" s="37">
        <f>IF(ISERROR(TER_horeca_gas_kWh/1000),0,TER_horeca_gas_kWh/1000)*0.902</f>
        <v>1624.2500077522102</v>
      </c>
      <c r="E7" s="33">
        <f>$C$27*'E Balans VL '!I9/100/3.6*1000000</f>
        <v>18.088638303217184</v>
      </c>
      <c r="F7" s="33">
        <f>$C$27*('E Balans VL '!L9+'E Balans VL '!N9)/100/3.6*1000000</f>
        <v>345.50740892586765</v>
      </c>
      <c r="G7" s="34"/>
      <c r="H7" s="33"/>
      <c r="I7" s="33"/>
      <c r="J7" s="33">
        <f>$C$27*('E Balans VL '!D9+'E Balans VL '!E9)/100/3.6*1000000</f>
        <v>0</v>
      </c>
      <c r="K7" s="33"/>
      <c r="L7" s="33"/>
      <c r="M7" s="33"/>
      <c r="N7" s="33">
        <f>$C$27*'E Balans VL '!Y9/100/3.6*1000000</f>
        <v>0.37453669027027769</v>
      </c>
      <c r="O7" s="33"/>
      <c r="P7" s="33"/>
      <c r="R7" s="32"/>
    </row>
    <row r="8" spans="1:18">
      <c r="A8" s="6" t="s">
        <v>51</v>
      </c>
      <c r="B8" s="37">
        <f t="shared" si="0"/>
        <v>5863.9093851480102</v>
      </c>
      <c r="C8" s="33"/>
      <c r="D8" s="37">
        <f>IF(ISERROR(TER_handel_gas_kWh/1000),0,TER_handel_gas_kWh/1000)*0.902</f>
        <v>4230.7725194205568</v>
      </c>
      <c r="E8" s="33">
        <f>$C$28*'E Balans VL '!I13/100/3.6*1000000</f>
        <v>25.680216348305471</v>
      </c>
      <c r="F8" s="33">
        <f>$C$28*('E Balans VL '!L13+'E Balans VL '!N13)/100/3.6*1000000</f>
        <v>394.14045124045981</v>
      </c>
      <c r="G8" s="34"/>
      <c r="H8" s="33"/>
      <c r="I8" s="33"/>
      <c r="J8" s="33">
        <f>$C$28*('E Balans VL '!D13+'E Balans VL '!E13)/100/3.6*1000000</f>
        <v>0</v>
      </c>
      <c r="K8" s="33"/>
      <c r="L8" s="33"/>
      <c r="M8" s="33"/>
      <c r="N8" s="33">
        <f>$C$28*'E Balans VL '!Y13/100/3.6*1000000</f>
        <v>17.323485252839617</v>
      </c>
      <c r="O8" s="33"/>
      <c r="P8" s="33"/>
      <c r="R8" s="32"/>
    </row>
    <row r="9" spans="1:18">
      <c r="A9" s="32" t="s">
        <v>50</v>
      </c>
      <c r="B9" s="37">
        <f t="shared" si="0"/>
        <v>314.19023870024301</v>
      </c>
      <c r="C9" s="33"/>
      <c r="D9" s="37">
        <f>IF(ISERROR(TER_gezond_gas_kWh/1000),0,TER_gezond_gas_kWh/1000)*0.902</f>
        <v>304.7951301331176</v>
      </c>
      <c r="E9" s="33">
        <f>$C$29*'E Balans VL '!I10/100/3.6*1000000</f>
        <v>0.10805141024984539</v>
      </c>
      <c r="F9" s="33">
        <f>$C$29*('E Balans VL '!L10+'E Balans VL '!N10)/100/3.6*1000000</f>
        <v>27.46146439595914</v>
      </c>
      <c r="G9" s="34"/>
      <c r="H9" s="33"/>
      <c r="I9" s="33"/>
      <c r="J9" s="33">
        <f>$C$29*('E Balans VL '!D10+'E Balans VL '!E10)/100/3.6*1000000</f>
        <v>13.032880546635525</v>
      </c>
      <c r="K9" s="33"/>
      <c r="L9" s="33"/>
      <c r="M9" s="33"/>
      <c r="N9" s="33">
        <f>$C$29*'E Balans VL '!Y10/100/3.6*1000000</f>
        <v>3.294168547710838</v>
      </c>
      <c r="O9" s="33"/>
      <c r="P9" s="33"/>
      <c r="R9" s="32"/>
    </row>
    <row r="10" spans="1:18">
      <c r="A10" s="32" t="s">
        <v>49</v>
      </c>
      <c r="B10" s="37">
        <f t="shared" si="0"/>
        <v>1850.3888731498701</v>
      </c>
      <c r="C10" s="33"/>
      <c r="D10" s="37">
        <f>IF(ISERROR(TER_ander_gas_kWh/1000),0,TER_ander_gas_kWh/1000)*0.902</f>
        <v>1695.7360800311612</v>
      </c>
      <c r="E10" s="33">
        <f>$C$30*'E Balans VL '!I14/100/3.6*1000000</f>
        <v>1.1004937796122256</v>
      </c>
      <c r="F10" s="33">
        <f>$C$30*('E Balans VL '!L14+'E Balans VL '!N14)/100/3.6*1000000</f>
        <v>327.61715830043454</v>
      </c>
      <c r="G10" s="34"/>
      <c r="H10" s="33"/>
      <c r="I10" s="33"/>
      <c r="J10" s="33">
        <f>$C$30*('E Balans VL '!D14+'E Balans VL '!E14)/100/3.6*1000000</f>
        <v>0</v>
      </c>
      <c r="K10" s="33"/>
      <c r="L10" s="33"/>
      <c r="M10" s="33"/>
      <c r="N10" s="33">
        <f>$C$30*'E Balans VL '!Y14/100/3.6*1000000</f>
        <v>1098.697831929871</v>
      </c>
      <c r="O10" s="33"/>
      <c r="P10" s="33"/>
      <c r="R10" s="32"/>
    </row>
    <row r="11" spans="1:18">
      <c r="A11" s="32" t="s">
        <v>54</v>
      </c>
      <c r="B11" s="37">
        <f t="shared" si="0"/>
        <v>215.31120256137601</v>
      </c>
      <c r="C11" s="33"/>
      <c r="D11" s="37">
        <f>IF(ISERROR(TER_onderwijs_gas_kWh/1000),0,TER_onderwijs_gas_kWh/1000)*0.902</f>
        <v>1028.5864118126156</v>
      </c>
      <c r="E11" s="33">
        <f>$C$31*'E Balans VL '!I11/100/3.6*1000000</f>
        <v>0.14321446667252691</v>
      </c>
      <c r="F11" s="33">
        <f>$C$31*('E Balans VL '!L11+'E Balans VL '!N11)/100/3.6*1000000</f>
        <v>68.981514002073681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1847.75648837225</v>
      </c>
      <c r="C12" s="33"/>
      <c r="D12" s="37">
        <f>IF(ISERROR(TER_rest_gas_kWh/1000),0,TER_rest_gas_kWh/1000)*0.902</f>
        <v>5457.5916180938457</v>
      </c>
      <c r="E12" s="33">
        <f>$C$32*'E Balans VL '!I8/100/3.6*1000000</f>
        <v>11.194231725090633</v>
      </c>
      <c r="F12" s="33">
        <f>$C$32*('E Balans VL '!L8+'E Balans VL '!N8)/100/3.6*1000000</f>
        <v>247.81270193634589</v>
      </c>
      <c r="G12" s="34"/>
      <c r="H12" s="33"/>
      <c r="I12" s="33"/>
      <c r="J12" s="33">
        <f>$C$32*('E Balans VL '!D8+'E Balans VL '!E8)/100/3.6*1000000</f>
        <v>5.6268739914149988</v>
      </c>
      <c r="K12" s="33"/>
      <c r="L12" s="33"/>
      <c r="M12" s="33"/>
      <c r="N12" s="33">
        <f>$C$32*'E Balans VL '!Y8/100/3.6*1000000</f>
        <v>133.32029745044309</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15349.446319796689</v>
      </c>
      <c r="C16" s="21">
        <f t="shared" ca="1" si="1"/>
        <v>0</v>
      </c>
      <c r="D16" s="21">
        <f t="shared" ca="1" si="1"/>
        <v>20328.4306220094</v>
      </c>
      <c r="E16" s="21">
        <f t="shared" si="1"/>
        <v>89.083319844241444</v>
      </c>
      <c r="F16" s="21">
        <f t="shared" ca="1" si="1"/>
        <v>1932.069929184207</v>
      </c>
      <c r="G16" s="21">
        <f t="shared" si="1"/>
        <v>0</v>
      </c>
      <c r="H16" s="21">
        <f t="shared" si="1"/>
        <v>0</v>
      </c>
      <c r="I16" s="21">
        <f t="shared" si="1"/>
        <v>0</v>
      </c>
      <c r="J16" s="21">
        <f t="shared" si="1"/>
        <v>18.659754538050525</v>
      </c>
      <c r="K16" s="21">
        <f t="shared" si="1"/>
        <v>0</v>
      </c>
      <c r="L16" s="21">
        <f t="shared" ca="1" si="1"/>
        <v>0</v>
      </c>
      <c r="M16" s="21">
        <f t="shared" si="1"/>
        <v>0</v>
      </c>
      <c r="N16" s="21">
        <f t="shared" ca="1" si="1"/>
        <v>1287.1523594622035</v>
      </c>
      <c r="O16" s="21">
        <f>O5</f>
        <v>3.1266666666666669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0.20684727992066776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3174.9912195382494</v>
      </c>
      <c r="C20" s="23">
        <f t="shared" ref="C20:P20" ca="1" si="2">C16*C18</f>
        <v>0</v>
      </c>
      <c r="D20" s="23">
        <f t="shared" ca="1" si="2"/>
        <v>4106.3429856458988</v>
      </c>
      <c r="E20" s="23">
        <f t="shared" si="2"/>
        <v>20.221913604642808</v>
      </c>
      <c r="F20" s="23">
        <f t="shared" ca="1" si="2"/>
        <v>515.86267109218329</v>
      </c>
      <c r="G20" s="23">
        <f t="shared" si="2"/>
        <v>0</v>
      </c>
      <c r="H20" s="23">
        <f t="shared" si="2"/>
        <v>0</v>
      </c>
      <c r="I20" s="23">
        <f t="shared" si="2"/>
        <v>0</v>
      </c>
      <c r="J20" s="23">
        <f t="shared" si="2"/>
        <v>6.6055531064698849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3882.11941492814</v>
      </c>
      <c r="C26" s="39">
        <f>IF(ISERROR(B26*3.6/1000000/'E Balans VL '!Z12*100),0,B26*3.6/1000000/'E Balans VL '!Z12*100)</f>
        <v>8.13644034454028E-2</v>
      </c>
      <c r="D26" s="235" t="s">
        <v>647</v>
      </c>
      <c r="F26" s="6"/>
    </row>
    <row r="27" spans="1:18">
      <c r="A27" s="230" t="s">
        <v>52</v>
      </c>
      <c r="B27" s="33">
        <f>IF(ISERROR(TER_horeca_ele_kWh/1000),0,TER_horeca_ele_kWh/1000)</f>
        <v>1375.7707169368</v>
      </c>
      <c r="C27" s="39">
        <f>IF(ISERROR(B27*3.6/1000000/'E Balans VL '!Z9*100),0,B27*3.6/1000000/'E Balans VL '!Z9*100)</f>
        <v>0.10548010413790329</v>
      </c>
      <c r="D27" s="235" t="s">
        <v>647</v>
      </c>
      <c r="F27" s="6"/>
    </row>
    <row r="28" spans="1:18">
      <c r="A28" s="170" t="s">
        <v>51</v>
      </c>
      <c r="B28" s="33">
        <f>IF(ISERROR(TER_handel_ele_kWh/1000),0,TER_handel_ele_kWh/1000)</f>
        <v>5863.9093851480102</v>
      </c>
      <c r="C28" s="39">
        <f>IF(ISERROR(B28*3.6/1000000/'E Balans VL '!Z13*100),0,B28*3.6/1000000/'E Balans VL '!Z13*100)</f>
        <v>0.16542953430950164</v>
      </c>
      <c r="D28" s="235" t="s">
        <v>647</v>
      </c>
      <c r="F28" s="6"/>
    </row>
    <row r="29" spans="1:18">
      <c r="A29" s="230" t="s">
        <v>50</v>
      </c>
      <c r="B29" s="33">
        <f>IF(ISERROR(TER_gezond_ele_kWh/1000),0,TER_gezond_ele_kWh/1000)</f>
        <v>314.19023870024301</v>
      </c>
      <c r="C29" s="39">
        <f>IF(ISERROR(B29*3.6/1000000/'E Balans VL '!Z10*100),0,B29*3.6/1000000/'E Balans VL '!Z10*100)</f>
        <v>3.4886918414335881E-2</v>
      </c>
      <c r="D29" s="235" t="s">
        <v>647</v>
      </c>
      <c r="F29" s="6"/>
    </row>
    <row r="30" spans="1:18">
      <c r="A30" s="230" t="s">
        <v>49</v>
      </c>
      <c r="B30" s="33">
        <f>IF(ISERROR(TER_ander_ele_kWh/1000),0,TER_ander_ele_kWh/1000)</f>
        <v>1850.3888731498701</v>
      </c>
      <c r="C30" s="39">
        <f>IF(ISERROR(B30*3.6/1000000/'E Balans VL '!Z14*100),0,B30*3.6/1000000/'E Balans VL '!Z14*100)</f>
        <v>0.133515604137695</v>
      </c>
      <c r="D30" s="235" t="s">
        <v>647</v>
      </c>
      <c r="F30" s="6"/>
    </row>
    <row r="31" spans="1:18">
      <c r="A31" s="230" t="s">
        <v>54</v>
      </c>
      <c r="B31" s="33">
        <f>IF(ISERROR(TER_onderwijs_ele_kWh/1000),0,TER_onderwijs_ele_kWh/1000)</f>
        <v>215.31120256137601</v>
      </c>
      <c r="C31" s="39">
        <f>IF(ISERROR(B31*3.6/1000000/'E Balans VL '!Z11*100),0,B31*3.6/1000000/'E Balans VL '!Z11*100)</f>
        <v>5.9682559847562461E-2</v>
      </c>
      <c r="D31" s="235" t="s">
        <v>647</v>
      </c>
    </row>
    <row r="32" spans="1:18">
      <c r="A32" s="230" t="s">
        <v>249</v>
      </c>
      <c r="B32" s="33">
        <f>IF(ISERROR(TER_rest_ele_kWh/1000),0,TER_rest_ele_kWh/1000)</f>
        <v>1847.75648837225</v>
      </c>
      <c r="C32" s="39">
        <f>IF(ISERROR(B32*3.6/1000000/'E Balans VL '!Z8*100),0,B32*3.6/1000000/'E Balans VL '!Z8*100)</f>
        <v>1.5062233798875726E-2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3863.1611737036892</v>
      </c>
      <c r="C5" s="17">
        <f>IF(ISERROR('Eigen informatie GS &amp; warmtenet'!B59),0,'Eigen informatie GS &amp; warmtenet'!B59)</f>
        <v>0</v>
      </c>
      <c r="D5" s="30">
        <f>SUM(D6:D15)</f>
        <v>2490.188148584738</v>
      </c>
      <c r="E5" s="17">
        <f>SUM(E6:E15)</f>
        <v>361.67255731910757</v>
      </c>
      <c r="F5" s="17">
        <f>SUM(F6:F15)</f>
        <v>1900.0557136807336</v>
      </c>
      <c r="G5" s="18"/>
      <c r="H5" s="17"/>
      <c r="I5" s="17"/>
      <c r="J5" s="17">
        <f>SUM(J6:J15)</f>
        <v>5.2737183940548062</v>
      </c>
      <c r="K5" s="17"/>
      <c r="L5" s="17"/>
      <c r="M5" s="17"/>
      <c r="N5" s="17">
        <f>SUM(N6:N15)</f>
        <v>418.9489908623259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33.619999999999997</v>
      </c>
      <c r="C8" s="33"/>
      <c r="D8" s="37">
        <f>IF( ISERROR(IND_metaal_Gas_kWH/1000),0,IND_metaal_Gas_kWH/1000)*0.902</f>
        <v>0</v>
      </c>
      <c r="E8" s="33">
        <f>C30*'E Balans VL '!I18/100/3.6*1000000</f>
        <v>0.96569259399870211</v>
      </c>
      <c r="F8" s="33">
        <f>C30*'E Balans VL '!L18/100/3.6*1000000+C30*'E Balans VL '!N18/100/3.6*1000000</f>
        <v>8.6228833944754903</v>
      </c>
      <c r="G8" s="34"/>
      <c r="H8" s="33"/>
      <c r="I8" s="33"/>
      <c r="J8" s="40">
        <f>C30*'E Balans VL '!D18/100/3.6*1000000+C30*'E Balans VL '!E18/100/3.6*1000000</f>
        <v>0</v>
      </c>
      <c r="K8" s="33"/>
      <c r="L8" s="33"/>
      <c r="M8" s="33"/>
      <c r="N8" s="33">
        <f>C30*'E Balans VL '!Y18/100/3.6*1000000</f>
        <v>0.91285162814307885</v>
      </c>
      <c r="O8" s="33"/>
      <c r="P8" s="33"/>
      <c r="R8" s="32"/>
    </row>
    <row r="9" spans="1:18">
      <c r="A9" s="6" t="s">
        <v>32</v>
      </c>
      <c r="B9" s="37">
        <f t="shared" si="0"/>
        <v>709.10069620192007</v>
      </c>
      <c r="C9" s="33"/>
      <c r="D9" s="37">
        <f>IF( ISERROR(IND_andere_gas_kWh/1000),0,IND_andere_gas_kWh/1000)*0.902</f>
        <v>659.44874108765816</v>
      </c>
      <c r="E9" s="33">
        <f>C31*'E Balans VL '!I19/100/3.6*1000000</f>
        <v>191.93612377436213</v>
      </c>
      <c r="F9" s="33">
        <f>C31*'E Balans VL '!L19/100/3.6*1000000+C31*'E Balans VL '!N19/100/3.6*1000000</f>
        <v>472.33610219895394</v>
      </c>
      <c r="G9" s="34"/>
      <c r="H9" s="33"/>
      <c r="I9" s="33"/>
      <c r="J9" s="40">
        <f>C31*'E Balans VL '!D19/100/3.6*1000000+C31*'E Balans VL '!E19/100/3.6*1000000</f>
        <v>0</v>
      </c>
      <c r="K9" s="33"/>
      <c r="L9" s="33"/>
      <c r="M9" s="33"/>
      <c r="N9" s="33">
        <f>C31*'E Balans VL '!Y19/100/3.6*1000000</f>
        <v>59.949766608157368</v>
      </c>
      <c r="O9" s="33"/>
      <c r="P9" s="33"/>
      <c r="R9" s="32"/>
    </row>
    <row r="10" spans="1:18">
      <c r="A10" s="6" t="s">
        <v>40</v>
      </c>
      <c r="B10" s="37">
        <f t="shared" si="0"/>
        <v>604.736098525839</v>
      </c>
      <c r="C10" s="33"/>
      <c r="D10" s="37">
        <f>IF( ISERROR(IND_voed_gas_kWh/1000),0,IND_voed_gas_kWh/1000)*0.902</f>
        <v>742.22974372686906</v>
      </c>
      <c r="E10" s="33">
        <f>C32*'E Balans VL '!I20/100/3.6*1000000</f>
        <v>49.323665540801152</v>
      </c>
      <c r="F10" s="33">
        <f>C32*'E Balans VL '!L20/100/3.6*1000000+C32*'E Balans VL '!N20/100/3.6*1000000</f>
        <v>901.71638936835473</v>
      </c>
      <c r="G10" s="34"/>
      <c r="H10" s="33"/>
      <c r="I10" s="33"/>
      <c r="J10" s="40">
        <f>C32*'E Balans VL '!D20/100/3.6*1000000+C32*'E Balans VL '!E20/100/3.6*1000000</f>
        <v>7.9999245323466497E-3</v>
      </c>
      <c r="K10" s="33"/>
      <c r="L10" s="33"/>
      <c r="M10" s="33"/>
      <c r="N10" s="33">
        <f>C32*'E Balans VL '!Y20/100/3.6*1000000</f>
        <v>177.65012691089552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461.24114367428001</v>
      </c>
      <c r="C13" s="33"/>
      <c r="D13" s="37">
        <f>IF( ISERROR(IND_papier_gas_kWh/1000),0,IND_papier_gas_kWh/1000)*0.902</f>
        <v>115.53070935544994</v>
      </c>
      <c r="E13" s="33">
        <f>C35*'E Balans VL '!I23/100/3.6*1000000</f>
        <v>4.8323412588040178</v>
      </c>
      <c r="F13" s="33">
        <f>C35*'E Balans VL '!L23/100/3.6*1000000+C35*'E Balans VL '!N23/100/3.6*1000000</f>
        <v>34.41789589413775</v>
      </c>
      <c r="G13" s="34"/>
      <c r="H13" s="33"/>
      <c r="I13" s="33"/>
      <c r="J13" s="40">
        <f>C35*'E Balans VL '!D23/100/3.6*1000000+C35*'E Balans VL '!E23/100/3.6*1000000</f>
        <v>0</v>
      </c>
      <c r="K13" s="33"/>
      <c r="L13" s="33"/>
      <c r="M13" s="33"/>
      <c r="N13" s="33">
        <f>C35*'E Balans VL '!Y23/100/3.6*1000000</f>
        <v>85.089017829828208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2054.46323530165</v>
      </c>
      <c r="C15" s="33"/>
      <c r="D15" s="37">
        <f>IF( ISERROR(IND_rest_gas_kWh/1000),0,IND_rest_gas_kWh/1000)*0.902</f>
        <v>972.97895441476089</v>
      </c>
      <c r="E15" s="33">
        <f>C37*'E Balans VL '!I15/100/3.6*1000000</f>
        <v>114.61473415114158</v>
      </c>
      <c r="F15" s="33">
        <f>C37*'E Balans VL '!L15/100/3.6*1000000+C37*'E Balans VL '!N15/100/3.6*1000000</f>
        <v>482.9624428248116</v>
      </c>
      <c r="G15" s="34"/>
      <c r="H15" s="33"/>
      <c r="I15" s="33"/>
      <c r="J15" s="40">
        <f>C37*'E Balans VL '!D15/100/3.6*1000000+C37*'E Balans VL '!E15/100/3.6*1000000</f>
        <v>5.2657184695224597</v>
      </c>
      <c r="K15" s="33"/>
      <c r="L15" s="33"/>
      <c r="M15" s="33"/>
      <c r="N15" s="33">
        <f>C37*'E Balans VL '!Y15/100/3.6*1000000</f>
        <v>95.347227885301706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3863.1611737036892</v>
      </c>
      <c r="C18" s="21">
        <f>C5+C16</f>
        <v>0</v>
      </c>
      <c r="D18" s="21">
        <f>MAX((D5+D16),0)</f>
        <v>2490.188148584738</v>
      </c>
      <c r="E18" s="21">
        <f>MAX((E5+E16),0)</f>
        <v>361.67255731910757</v>
      </c>
      <c r="F18" s="21">
        <f>MAX((F5+F16),0)</f>
        <v>1900.0557136807336</v>
      </c>
      <c r="G18" s="21"/>
      <c r="H18" s="21"/>
      <c r="I18" s="21"/>
      <c r="J18" s="21">
        <f>MAX((J5+J16),0)</f>
        <v>5.2737183940548062</v>
      </c>
      <c r="K18" s="21"/>
      <c r="L18" s="21">
        <f>MAX((L5+L16),0)</f>
        <v>0</v>
      </c>
      <c r="M18" s="21"/>
      <c r="N18" s="21">
        <f>MAX((N5+N16),0)</f>
        <v>418.9489908623259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0.20684727992066776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799.08438067574241</v>
      </c>
      <c r="C22" s="23">
        <f ca="1">C18*C20</f>
        <v>0</v>
      </c>
      <c r="D22" s="23">
        <f>D18*D20</f>
        <v>503.01800601411708</v>
      </c>
      <c r="E22" s="23">
        <f>E18*E20</f>
        <v>82.099670511437424</v>
      </c>
      <c r="F22" s="23">
        <f>F18*F20</f>
        <v>507.31487555275589</v>
      </c>
      <c r="G22" s="23"/>
      <c r="H22" s="23"/>
      <c r="I22" s="23"/>
      <c r="J22" s="23">
        <f>J18*J20</f>
        <v>1.8668963114954014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33.619999999999997</v>
      </c>
      <c r="C30" s="39">
        <f>IF(ISERROR(B30*3.6/1000000/'E Balans VL '!Z18*100),0,B30*3.6/1000000/'E Balans VL '!Z18*100)</f>
        <v>3.3081221772822697E-3</v>
      </c>
      <c r="D30" s="235" t="s">
        <v>647</v>
      </c>
    </row>
    <row r="31" spans="1:18">
      <c r="A31" s="6" t="s">
        <v>32</v>
      </c>
      <c r="B31" s="37">
        <f>IF( ISERROR(IND_ander_ele_kWh/1000),0,IND_ander_ele_kWh/1000)</f>
        <v>709.10069620192007</v>
      </c>
      <c r="C31" s="39">
        <f>IF(ISERROR(B31*3.6/1000000/'E Balans VL '!Z19*100),0,B31*3.6/1000000/'E Balans VL '!Z19*100)</f>
        <v>3.088076967554022E-2</v>
      </c>
      <c r="D31" s="235" t="s">
        <v>647</v>
      </c>
    </row>
    <row r="32" spans="1:18">
      <c r="A32" s="170" t="s">
        <v>40</v>
      </c>
      <c r="B32" s="37">
        <f>IF( ISERROR(IND_voed_ele_kWh/1000),0,IND_voed_ele_kWh/1000)</f>
        <v>604.736098525839</v>
      </c>
      <c r="C32" s="39">
        <f>IF(ISERROR(B32*3.6/1000000/'E Balans VL '!Z20*100),0,B32*3.6/1000000/'E Balans VL '!Z20*100)</f>
        <v>0.11473995345197929</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461.24114367428001</v>
      </c>
      <c r="C35" s="39">
        <f>IF(ISERROR(B35*3.6/1000000/'E Balans VL '!Z22*100),0,B35*3.6/1000000/'E Balans VL '!Z22*100)</f>
        <v>6.4855136439802064E-2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2054.46323530165</v>
      </c>
      <c r="C37" s="39">
        <f>IF(ISERROR(B37*3.6/1000000/'E Balans VL '!Z15*100),0,B37*3.6/1000000/'E Balans VL '!Z15*100)</f>
        <v>1.5832162628997143E-2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2766.7971098839266</v>
      </c>
      <c r="C5" s="17">
        <f>'Eigen informatie GS &amp; warmtenet'!B60</f>
        <v>0</v>
      </c>
      <c r="D5" s="30">
        <f>IF(ISERROR(SUM(LB_lb_gas_kWh,LB_rest_gas_kWh)/1000),0,SUM(LB_lb_gas_kWh,LB_rest_gas_kWh)/1000)*0.902</f>
        <v>219.23365990107632</v>
      </c>
      <c r="E5" s="17">
        <f>B17*'E Balans VL '!I25/3.6*1000000/100</f>
        <v>57.451740048467457</v>
      </c>
      <c r="F5" s="17">
        <f>B17*('E Balans VL '!L25/3.6*1000000+'E Balans VL '!N25/3.6*1000000)/100</f>
        <v>9777.9315869106904</v>
      </c>
      <c r="G5" s="18"/>
      <c r="H5" s="17"/>
      <c r="I5" s="17"/>
      <c r="J5" s="17">
        <f>('E Balans VL '!D25+'E Balans VL '!E25)/3.6*1000000*landbouw!B17/100</f>
        <v>317.33412898141916</v>
      </c>
      <c r="K5" s="17"/>
      <c r="L5" s="17">
        <f>L6*(-1)</f>
        <v>0</v>
      </c>
      <c r="M5" s="17"/>
      <c r="N5" s="17">
        <f>N6*(-1)</f>
        <v>124.71428571428569</v>
      </c>
      <c r="O5" s="17"/>
      <c r="P5" s="17"/>
      <c r="R5" s="32"/>
    </row>
    <row r="6" spans="1:18">
      <c r="A6" s="16" t="s">
        <v>483</v>
      </c>
      <c r="B6" s="17" t="s">
        <v>204</v>
      </c>
      <c r="C6" s="17">
        <f>'lokale energieproductie'!O39+'lokale energieproductie'!O32</f>
        <v>62.357142857142847</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-124.71428571428569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2766.7971098839266</v>
      </c>
      <c r="C8" s="21">
        <f>C5+C6</f>
        <v>62.357142857142847</v>
      </c>
      <c r="D8" s="21">
        <f>MAX((D5+D6),0)</f>
        <v>219.23365990107632</v>
      </c>
      <c r="E8" s="21">
        <f>MAX((E5+E6),0)</f>
        <v>57.451740048467457</v>
      </c>
      <c r="F8" s="21">
        <f>MAX((F5+F6),0)</f>
        <v>9777.9315869106904</v>
      </c>
      <c r="G8" s="21"/>
      <c r="H8" s="21"/>
      <c r="I8" s="21"/>
      <c r="J8" s="21">
        <f>MAX((J5+J6),0)</f>
        <v>317.33412898141916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0.20684727992066776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572.30445627185509</v>
      </c>
      <c r="C12" s="23">
        <f ca="1">C8*C10</f>
        <v>0</v>
      </c>
      <c r="D12" s="23">
        <f>D8*D10</f>
        <v>44.285199300017418</v>
      </c>
      <c r="E12" s="23">
        <f>E8*E10</f>
        <v>13.041544991002112</v>
      </c>
      <c r="F12" s="23">
        <f>F8*F10</f>
        <v>2610.7077337051546</v>
      </c>
      <c r="G12" s="23"/>
      <c r="H12" s="23"/>
      <c r="I12" s="23"/>
      <c r="J12" s="23">
        <f>J8*J10</f>
        <v>112.33628165942237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0.38588099244579604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285.29260968294608</v>
      </c>
      <c r="C26" s="245">
        <f>B26*'GWP N2O_CH4'!B5</f>
        <v>5991.1448033418674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58.060401504437749</v>
      </c>
      <c r="C27" s="245">
        <f>B27*'GWP N2O_CH4'!B5</f>
        <v>1219.2684315931926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4.1217810294499184</v>
      </c>
      <c r="C28" s="245">
        <f>B28*'GWP N2O_CH4'!B4</f>
        <v>1277.7521191294747</v>
      </c>
      <c r="D28" s="50"/>
    </row>
    <row r="29" spans="1:4">
      <c r="A29" s="41" t="s">
        <v>266</v>
      </c>
      <c r="B29" s="245">
        <f>B34*'ha_N2O bodem landbouw'!B4</f>
        <v>13.336881484564135</v>
      </c>
      <c r="C29" s="245">
        <f>B29*'GWP N2O_CH4'!B4</f>
        <v>4134.4332602148816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3.3300860408563928E-3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2.3055373178705611E-5</v>
      </c>
      <c r="C5" s="434" t="s">
        <v>204</v>
      </c>
      <c r="D5" s="419">
        <f>SUM(D6:D11)</f>
        <v>2.7698153713213756E-5</v>
      </c>
      <c r="E5" s="419">
        <f>SUM(E6:E11)</f>
        <v>9.5772941803710921E-4</v>
      </c>
      <c r="F5" s="432" t="s">
        <v>204</v>
      </c>
      <c r="G5" s="419">
        <f>SUM(G6:G11)</f>
        <v>0.21359138276479869</v>
      </c>
      <c r="H5" s="419">
        <f>SUM(H6:H11)</f>
        <v>4.9490716540739395E-2</v>
      </c>
      <c r="I5" s="434" t="s">
        <v>204</v>
      </c>
      <c r="J5" s="434" t="s">
        <v>204</v>
      </c>
      <c r="K5" s="434" t="s">
        <v>204</v>
      </c>
      <c r="L5" s="434" t="s">
        <v>204</v>
      </c>
      <c r="M5" s="419">
        <f>SUM(M6:M11)</f>
        <v>1.1899922075890487E-2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8.3470022406514695E-6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7.4038572933369763E-6</v>
      </c>
      <c r="E6" s="836">
        <f>vkm_GW_PW*SUMIFS(TableVerdeelsleutelVkm[LPG],TableVerdeelsleutelVkm[Voertuigtype],"Lichte voertuigen")*SUMIFS(TableECFTransport[EnergieConsumptieFactor (PJ per km)],TableECFTransport[Index],CONCATENATE($A6,"_LPG_LPG"))</f>
        <v>2.6586640479279089E-4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5.2852760697784461E-2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1.3643618544677785E-2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3.0083087612172033E-3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5.3419378233280369E-8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8.3593384220066839E-3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2.1989732353000088E-7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3.7743834799731701E-4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1.4542411605677894E-5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2.0294296419876779E-5</v>
      </c>
      <c r="E8" s="422">
        <f>vkm_NGW_PW*SUMIFS(TableVerdeelsleutelVkm[LPG],TableVerdeelsleutelVkm[Voertuigtype],"Lichte voertuigen")*SUMIFS(TableECFTransport[EnergieConsumptieFactor (PJ per km)],TableECFTransport[Index],CONCATENATE($A8,"_LPG_LPG"))</f>
        <v>6.9186301324431832E-4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0.12975786363419556</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3.5846318928182345E-2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7.4927810133943919E-3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1.1253995414296951E-7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2.2621420010811993E-2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5.5917055573353275E-7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1.0213939532815743E-3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6.4042703274182244</v>
      </c>
      <c r="C14" s="21"/>
      <c r="D14" s="21">
        <f t="shared" ref="D14:M14" si="0">((D5)*10^9/3600)+D12</f>
        <v>7.6939315870038216</v>
      </c>
      <c r="E14" s="21">
        <f t="shared" si="0"/>
        <v>266.03594945475254</v>
      </c>
      <c r="F14" s="21"/>
      <c r="G14" s="21">
        <f t="shared" si="0"/>
        <v>59330.939656888528</v>
      </c>
      <c r="H14" s="21">
        <f t="shared" si="0"/>
        <v>13747.421261316498</v>
      </c>
      <c r="I14" s="21"/>
      <c r="J14" s="21"/>
      <c r="K14" s="21"/>
      <c r="L14" s="21"/>
      <c r="M14" s="21">
        <f t="shared" si="0"/>
        <v>3305.5339099695798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0.20684727992066776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1.324705897103104</v>
      </c>
      <c r="C18" s="23"/>
      <c r="D18" s="23">
        <f t="shared" ref="D18:M18" si="1">D14*D16</f>
        <v>1.554174180574772</v>
      </c>
      <c r="E18" s="23">
        <f t="shared" si="1"/>
        <v>60.390160526228826</v>
      </c>
      <c r="F18" s="23"/>
      <c r="G18" s="23">
        <f t="shared" si="1"/>
        <v>15841.360888389238</v>
      </c>
      <c r="H18" s="23">
        <f t="shared" si="1"/>
        <v>3423.107894067808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2.8185739221346863E-5</v>
      </c>
      <c r="C50" s="316">
        <f t="shared" ref="C50:P50" si="2">SUM(C51:C52)</f>
        <v>0</v>
      </c>
      <c r="D50" s="316">
        <f t="shared" si="2"/>
        <v>0</v>
      </c>
      <c r="E50" s="316">
        <f t="shared" si="2"/>
        <v>0</v>
      </c>
      <c r="F50" s="316">
        <f t="shared" si="2"/>
        <v>0</v>
      </c>
      <c r="G50" s="316">
        <f t="shared" si="2"/>
        <v>5.486194653444687E-3</v>
      </c>
      <c r="H50" s="316">
        <f t="shared" si="2"/>
        <v>0</v>
      </c>
      <c r="I50" s="316">
        <f t="shared" si="2"/>
        <v>0</v>
      </c>
      <c r="J50" s="316">
        <f t="shared" si="2"/>
        <v>0</v>
      </c>
      <c r="K50" s="316">
        <f t="shared" si="2"/>
        <v>0</v>
      </c>
      <c r="L50" s="316">
        <f t="shared" si="2"/>
        <v>0</v>
      </c>
      <c r="M50" s="316">
        <f t="shared" si="2"/>
        <v>2.460055781195771E-4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2.8185739221346863E-5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5.486194653444687E-3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2.460055781195771E-4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7.8293720059296845</v>
      </c>
      <c r="C54" s="21">
        <f t="shared" ref="C54:P54" si="3">(C50)*10^9/3600</f>
        <v>0</v>
      </c>
      <c r="D54" s="21">
        <f t="shared" si="3"/>
        <v>0</v>
      </c>
      <c r="E54" s="21">
        <f t="shared" si="3"/>
        <v>0</v>
      </c>
      <c r="F54" s="21">
        <f t="shared" si="3"/>
        <v>0</v>
      </c>
      <c r="G54" s="21">
        <f t="shared" si="3"/>
        <v>1523.9429592901909</v>
      </c>
      <c r="H54" s="21">
        <f t="shared" si="3"/>
        <v>0</v>
      </c>
      <c r="I54" s="21">
        <f t="shared" si="3"/>
        <v>0</v>
      </c>
      <c r="J54" s="21">
        <f t="shared" si="3"/>
        <v>0</v>
      </c>
      <c r="K54" s="21">
        <f t="shared" si="3"/>
        <v>0</v>
      </c>
      <c r="L54" s="21">
        <f t="shared" si="3"/>
        <v>0</v>
      </c>
      <c r="M54" s="21">
        <f t="shared" si="3"/>
        <v>68.334882810993648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0.20684727992066776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1.6194843029135775</v>
      </c>
      <c r="C58" s="23">
        <f t="shared" ref="C58:P58" ca="1" si="4">C54*C56</f>
        <v>0</v>
      </c>
      <c r="D58" s="23">
        <f t="shared" si="4"/>
        <v>0</v>
      </c>
      <c r="E58" s="23">
        <f t="shared" si="4"/>
        <v>0</v>
      </c>
      <c r="F58" s="23">
        <f t="shared" si="4"/>
        <v>0</v>
      </c>
      <c r="G58" s="23">
        <f t="shared" si="4"/>
        <v>406.89277013048098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3587.0728551292696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43.649999999999991</v>
      </c>
      <c r="C8" s="546">
        <f>B48</f>
        <v>0</v>
      </c>
      <c r="D8" s="963"/>
      <c r="E8" s="963">
        <f>E48</f>
        <v>0</v>
      </c>
      <c r="F8" s="964"/>
      <c r="G8" s="547"/>
      <c r="H8" s="963">
        <f>I48</f>
        <v>0</v>
      </c>
      <c r="I8" s="963">
        <f>G48+F48</f>
        <v>0</v>
      </c>
      <c r="J8" s="963">
        <f>H48+D48+C48</f>
        <v>51.35294117647058</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3630.7228551292696</v>
      </c>
      <c r="C10" s="559">
        <f t="shared" ref="C10:L10" si="0">SUM(C8:C9)</f>
        <v>0</v>
      </c>
      <c r="D10" s="559">
        <f t="shared" si="0"/>
        <v>0</v>
      </c>
      <c r="E10" s="559">
        <f t="shared" si="0"/>
        <v>0</v>
      </c>
      <c r="F10" s="559">
        <f t="shared" si="0"/>
        <v>0</v>
      </c>
      <c r="G10" s="559">
        <f t="shared" si="0"/>
        <v>0</v>
      </c>
      <c r="H10" s="559">
        <f t="shared" si="0"/>
        <v>0</v>
      </c>
      <c r="I10" s="559">
        <f t="shared" si="0"/>
        <v>0</v>
      </c>
      <c r="J10" s="559">
        <f t="shared" si="0"/>
        <v>51.35294117647058</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62.357142857142847</v>
      </c>
      <c r="C17" s="571">
        <f>B49</f>
        <v>0</v>
      </c>
      <c r="D17" s="572"/>
      <c r="E17" s="572">
        <f>E49</f>
        <v>0</v>
      </c>
      <c r="F17" s="969"/>
      <c r="G17" s="573"/>
      <c r="H17" s="571">
        <f>I49</f>
        <v>0</v>
      </c>
      <c r="I17" s="572">
        <f>G49+F49</f>
        <v>0</v>
      </c>
      <c r="J17" s="572">
        <f>H49+D49+C49</f>
        <v>73.361344537815114</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62.357142857142847</v>
      </c>
      <c r="C20" s="558">
        <f>SUM(C17:C19)</f>
        <v>0</v>
      </c>
      <c r="D20" s="558">
        <f t="shared" ref="D20:L20" si="1">SUM(D17:D19)</f>
        <v>0</v>
      </c>
      <c r="E20" s="558">
        <f t="shared" si="1"/>
        <v>0</v>
      </c>
      <c r="F20" s="558">
        <f t="shared" si="1"/>
        <v>0</v>
      </c>
      <c r="G20" s="558">
        <f t="shared" si="1"/>
        <v>0</v>
      </c>
      <c r="H20" s="558">
        <f t="shared" si="1"/>
        <v>0</v>
      </c>
      <c r="I20" s="558">
        <f t="shared" si="1"/>
        <v>0</v>
      </c>
      <c r="J20" s="558">
        <f t="shared" si="1"/>
        <v>73.361344537815114</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23052</v>
      </c>
      <c r="C28" s="741">
        <v>1785</v>
      </c>
      <c r="D28" s="630"/>
      <c r="E28" s="629"/>
      <c r="F28" s="629"/>
      <c r="G28" s="629" t="s">
        <v>908</v>
      </c>
      <c r="H28" s="629" t="s">
        <v>909</v>
      </c>
      <c r="I28" s="629"/>
      <c r="J28" s="740"/>
      <c r="K28" s="740"/>
      <c r="L28" s="629" t="s">
        <v>910</v>
      </c>
      <c r="M28" s="629">
        <v>9.6999999999999993</v>
      </c>
      <c r="N28" s="629">
        <v>43.649999999999991</v>
      </c>
      <c r="O28" s="629">
        <v>62.357142857142847</v>
      </c>
      <c r="P28" s="629">
        <v>0</v>
      </c>
      <c r="Q28" s="629">
        <v>124.71428571428569</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9.6999999999999993</v>
      </c>
      <c r="N29" s="587">
        <f>SUM(N28:N28)</f>
        <v>43.649999999999991</v>
      </c>
      <c r="O29" s="587">
        <f>SUM(O28:O28)</f>
        <v>62.357142857142847</v>
      </c>
      <c r="P29" s="587">
        <f>SUM(P28:P28)</f>
        <v>0</v>
      </c>
      <c r="Q29" s="587">
        <f>SUM(Q28:Q28)</f>
        <v>124.71428571428569</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9.6999999999999993</v>
      </c>
      <c r="N32" s="592">
        <f>SUMIF($AA$28:$AA$28,"landbouw",N28:N28)</f>
        <v>43.649999999999991</v>
      </c>
      <c r="O32" s="592">
        <f>SUMIF($AA$28:$AA$28,"landbouw",O28:O28)</f>
        <v>62.357142857142847</v>
      </c>
      <c r="P32" s="592">
        <f>SUMIF($AA$28:$AA$28,"landbouw",P28:P28)</f>
        <v>0</v>
      </c>
      <c r="Q32" s="592">
        <f>SUMIF($AA$28:$AA$28,"landbouw",Q28:Q28)</f>
        <v>124.71428571428569</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51.35294117647058</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73.361344537815114</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16203.455319796689</v>
      </c>
      <c r="D10" s="640">
        <f ca="1">tertiair!C16</f>
        <v>0</v>
      </c>
      <c r="E10" s="640">
        <f ca="1">tertiair!D16</f>
        <v>20328.4306220094</v>
      </c>
      <c r="F10" s="640">
        <f>tertiair!E16</f>
        <v>89.083319844241444</v>
      </c>
      <c r="G10" s="640">
        <f ca="1">tertiair!F16</f>
        <v>1932.069929184207</v>
      </c>
      <c r="H10" s="640">
        <f>tertiair!G16</f>
        <v>0</v>
      </c>
      <c r="I10" s="640">
        <f>tertiair!H16</f>
        <v>0</v>
      </c>
      <c r="J10" s="640">
        <f>tertiair!I16</f>
        <v>0</v>
      </c>
      <c r="K10" s="640">
        <f>tertiair!J16</f>
        <v>18.659754538050525</v>
      </c>
      <c r="L10" s="640">
        <f>tertiair!K16</f>
        <v>0</v>
      </c>
      <c r="M10" s="640">
        <f ca="1">tertiair!L16</f>
        <v>0</v>
      </c>
      <c r="N10" s="640">
        <f>tertiair!M16</f>
        <v>0</v>
      </c>
      <c r="O10" s="640">
        <f ca="1">tertiair!N16</f>
        <v>1287.1523594622035</v>
      </c>
      <c r="P10" s="640">
        <f>tertiair!O16</f>
        <v>3.1266666666666669</v>
      </c>
      <c r="Q10" s="641">
        <f>tertiair!P16</f>
        <v>57.2</v>
      </c>
      <c r="R10" s="643">
        <f ca="1">SUM(C10:Q10)</f>
        <v>39919.177971501456</v>
      </c>
      <c r="S10" s="67"/>
    </row>
    <row r="11" spans="1:19" s="444" customFormat="1">
      <c r="A11" s="754" t="s">
        <v>214</v>
      </c>
      <c r="B11" s="759"/>
      <c r="C11" s="640">
        <f>huishoudens!B8</f>
        <v>32840.48744595977</v>
      </c>
      <c r="D11" s="640">
        <f>huishoudens!C8</f>
        <v>0</v>
      </c>
      <c r="E11" s="640">
        <f>huishoudens!D8</f>
        <v>51197.054765534667</v>
      </c>
      <c r="F11" s="640">
        <f>huishoudens!E8</f>
        <v>2037.1577848148982</v>
      </c>
      <c r="G11" s="640">
        <f>huishoudens!F8</f>
        <v>62429.663395425196</v>
      </c>
      <c r="H11" s="640">
        <f>huishoudens!G8</f>
        <v>0</v>
      </c>
      <c r="I11" s="640">
        <f>huishoudens!H8</f>
        <v>0</v>
      </c>
      <c r="J11" s="640">
        <f>huishoudens!I8</f>
        <v>0</v>
      </c>
      <c r="K11" s="640">
        <f>huishoudens!J8</f>
        <v>1182.2935163626057</v>
      </c>
      <c r="L11" s="640">
        <f>huishoudens!K8</f>
        <v>0</v>
      </c>
      <c r="M11" s="640">
        <f>huishoudens!L8</f>
        <v>0</v>
      </c>
      <c r="N11" s="640">
        <f>huishoudens!M8</f>
        <v>0</v>
      </c>
      <c r="O11" s="640">
        <f>huishoudens!N8</f>
        <v>10833.080288721125</v>
      </c>
      <c r="P11" s="640">
        <f>huishoudens!O8</f>
        <v>121.94000000000001</v>
      </c>
      <c r="Q11" s="641">
        <f>huishoudens!P8</f>
        <v>667.33333333333337</v>
      </c>
      <c r="R11" s="643">
        <f>SUM(C11:Q11)</f>
        <v>161309.01053015163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3863.1611737036892</v>
      </c>
      <c r="D13" s="640">
        <f>industrie!C18</f>
        <v>0</v>
      </c>
      <c r="E13" s="640">
        <f>industrie!D18</f>
        <v>2490.188148584738</v>
      </c>
      <c r="F13" s="640">
        <f>industrie!E18</f>
        <v>361.67255731910757</v>
      </c>
      <c r="G13" s="640">
        <f>industrie!F18</f>
        <v>1900.0557136807336</v>
      </c>
      <c r="H13" s="640">
        <f>industrie!G18</f>
        <v>0</v>
      </c>
      <c r="I13" s="640">
        <f>industrie!H18</f>
        <v>0</v>
      </c>
      <c r="J13" s="640">
        <f>industrie!I18</f>
        <v>0</v>
      </c>
      <c r="K13" s="640">
        <f>industrie!J18</f>
        <v>5.2737183940548062</v>
      </c>
      <c r="L13" s="640">
        <f>industrie!K18</f>
        <v>0</v>
      </c>
      <c r="M13" s="640">
        <f>industrie!L18</f>
        <v>0</v>
      </c>
      <c r="N13" s="640">
        <f>industrie!M18</f>
        <v>0</v>
      </c>
      <c r="O13" s="640">
        <f>industrie!N18</f>
        <v>418.9489908623259</v>
      </c>
      <c r="P13" s="640">
        <f>industrie!O18</f>
        <v>0</v>
      </c>
      <c r="Q13" s="641">
        <f>industrie!P18</f>
        <v>0</v>
      </c>
      <c r="R13" s="643">
        <f>SUM(C13:Q13)</f>
        <v>9039.3003025446487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52907.103939460147</v>
      </c>
      <c r="D16" s="675">
        <f t="shared" ref="D16:R16" ca="1" si="0">SUM(D9:D15)</f>
        <v>0</v>
      </c>
      <c r="E16" s="675">
        <f t="shared" ca="1" si="0"/>
        <v>74015.673536128801</v>
      </c>
      <c r="F16" s="675">
        <f t="shared" si="0"/>
        <v>2487.9136619782471</v>
      </c>
      <c r="G16" s="675">
        <f t="shared" ca="1" si="0"/>
        <v>66261.789038290139</v>
      </c>
      <c r="H16" s="675">
        <f t="shared" si="0"/>
        <v>0</v>
      </c>
      <c r="I16" s="675">
        <f t="shared" si="0"/>
        <v>0</v>
      </c>
      <c r="J16" s="675">
        <f t="shared" si="0"/>
        <v>0</v>
      </c>
      <c r="K16" s="675">
        <f t="shared" si="0"/>
        <v>1206.2269892947111</v>
      </c>
      <c r="L16" s="675">
        <f t="shared" si="0"/>
        <v>0</v>
      </c>
      <c r="M16" s="675">
        <f t="shared" ca="1" si="0"/>
        <v>0</v>
      </c>
      <c r="N16" s="675">
        <f t="shared" si="0"/>
        <v>0</v>
      </c>
      <c r="O16" s="675">
        <f t="shared" ca="1" si="0"/>
        <v>12539.181639045653</v>
      </c>
      <c r="P16" s="675">
        <f t="shared" si="0"/>
        <v>125.06666666666668</v>
      </c>
      <c r="Q16" s="675">
        <f t="shared" si="0"/>
        <v>724.53333333333342</v>
      </c>
      <c r="R16" s="675">
        <f t="shared" ca="1" si="0"/>
        <v>210267.48880419772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7.8293720059296845</v>
      </c>
      <c r="D19" s="640">
        <f>transport!C54</f>
        <v>0</v>
      </c>
      <c r="E19" s="640">
        <f>transport!D54</f>
        <v>0</v>
      </c>
      <c r="F19" s="640">
        <f>transport!E54</f>
        <v>0</v>
      </c>
      <c r="G19" s="640">
        <f>transport!F54</f>
        <v>0</v>
      </c>
      <c r="H19" s="640">
        <f>transport!G54</f>
        <v>1523.9429592901909</v>
      </c>
      <c r="I19" s="640">
        <f>transport!H54</f>
        <v>0</v>
      </c>
      <c r="J19" s="640">
        <f>transport!I54</f>
        <v>0</v>
      </c>
      <c r="K19" s="640">
        <f>transport!J54</f>
        <v>0</v>
      </c>
      <c r="L19" s="640">
        <f>transport!K54</f>
        <v>0</v>
      </c>
      <c r="M19" s="640">
        <f>transport!L54</f>
        <v>0</v>
      </c>
      <c r="N19" s="640">
        <f>transport!M54</f>
        <v>68.334882810993648</v>
      </c>
      <c r="O19" s="640">
        <f>transport!N54</f>
        <v>0</v>
      </c>
      <c r="P19" s="640">
        <f>transport!O54</f>
        <v>0</v>
      </c>
      <c r="Q19" s="641">
        <f>transport!P54</f>
        <v>0</v>
      </c>
      <c r="R19" s="643">
        <f>SUM(C19:Q19)</f>
        <v>1600.107214107114</v>
      </c>
      <c r="S19" s="67"/>
    </row>
    <row r="20" spans="1:19" s="444" customFormat="1">
      <c r="A20" s="754" t="s">
        <v>296</v>
      </c>
      <c r="B20" s="759"/>
      <c r="C20" s="640">
        <f>transport!B14</f>
        <v>6.4042703274182244</v>
      </c>
      <c r="D20" s="640">
        <f>transport!C14</f>
        <v>0</v>
      </c>
      <c r="E20" s="640">
        <f>transport!D14</f>
        <v>7.6939315870038216</v>
      </c>
      <c r="F20" s="640">
        <f>transport!E14</f>
        <v>266.03594945475254</v>
      </c>
      <c r="G20" s="640">
        <f>transport!F14</f>
        <v>0</v>
      </c>
      <c r="H20" s="640">
        <f>transport!G14</f>
        <v>59330.939656888528</v>
      </c>
      <c r="I20" s="640">
        <f>transport!H14</f>
        <v>13747.421261316498</v>
      </c>
      <c r="J20" s="640">
        <f>transport!I14</f>
        <v>0</v>
      </c>
      <c r="K20" s="640">
        <f>transport!J14</f>
        <v>0</v>
      </c>
      <c r="L20" s="640">
        <f>transport!K14</f>
        <v>0</v>
      </c>
      <c r="M20" s="640">
        <f>transport!L14</f>
        <v>0</v>
      </c>
      <c r="N20" s="640">
        <f>transport!M14</f>
        <v>3305.5339099695798</v>
      </c>
      <c r="O20" s="640">
        <f>transport!N14</f>
        <v>0</v>
      </c>
      <c r="P20" s="640">
        <f>transport!O14</f>
        <v>0</v>
      </c>
      <c r="Q20" s="641">
        <f>transport!P14</f>
        <v>0</v>
      </c>
      <c r="R20" s="643">
        <f>SUM(C20:Q20)</f>
        <v>76664.028979543786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14.233642333347909</v>
      </c>
      <c r="D22" s="757">
        <f t="shared" ref="D22:R22" si="1">SUM(D18:D21)</f>
        <v>0</v>
      </c>
      <c r="E22" s="757">
        <f t="shared" si="1"/>
        <v>7.6939315870038216</v>
      </c>
      <c r="F22" s="757">
        <f t="shared" si="1"/>
        <v>266.03594945475254</v>
      </c>
      <c r="G22" s="757">
        <f t="shared" si="1"/>
        <v>0</v>
      </c>
      <c r="H22" s="757">
        <f t="shared" si="1"/>
        <v>60854.882616178722</v>
      </c>
      <c r="I22" s="757">
        <f t="shared" si="1"/>
        <v>13747.421261316498</v>
      </c>
      <c r="J22" s="757">
        <f t="shared" si="1"/>
        <v>0</v>
      </c>
      <c r="K22" s="757">
        <f t="shared" si="1"/>
        <v>0</v>
      </c>
      <c r="L22" s="757">
        <f t="shared" si="1"/>
        <v>0</v>
      </c>
      <c r="M22" s="757">
        <f t="shared" si="1"/>
        <v>0</v>
      </c>
      <c r="N22" s="757">
        <f t="shared" si="1"/>
        <v>3373.8687927805736</v>
      </c>
      <c r="O22" s="757">
        <f t="shared" si="1"/>
        <v>0</v>
      </c>
      <c r="P22" s="757">
        <f t="shared" si="1"/>
        <v>0</v>
      </c>
      <c r="Q22" s="757">
        <f t="shared" si="1"/>
        <v>0</v>
      </c>
      <c r="R22" s="757">
        <f t="shared" si="1"/>
        <v>78264.136193650906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2766.7971098839266</v>
      </c>
      <c r="D24" s="640">
        <f>+landbouw!C8</f>
        <v>62.357142857142847</v>
      </c>
      <c r="E24" s="640">
        <f>+landbouw!D8</f>
        <v>219.23365990107632</v>
      </c>
      <c r="F24" s="640">
        <f>+landbouw!E8</f>
        <v>57.451740048467457</v>
      </c>
      <c r="G24" s="640">
        <f>+landbouw!F8</f>
        <v>9777.9315869106904</v>
      </c>
      <c r="H24" s="640">
        <f>+landbouw!G8</f>
        <v>0</v>
      </c>
      <c r="I24" s="640">
        <f>+landbouw!H8</f>
        <v>0</v>
      </c>
      <c r="J24" s="640">
        <f>+landbouw!I8</f>
        <v>0</v>
      </c>
      <c r="K24" s="640">
        <f>+landbouw!J8</f>
        <v>317.33412898141916</v>
      </c>
      <c r="L24" s="640">
        <f>+landbouw!K8</f>
        <v>0</v>
      </c>
      <c r="M24" s="640">
        <f>+landbouw!L8</f>
        <v>0</v>
      </c>
      <c r="N24" s="640">
        <f>+landbouw!M8</f>
        <v>0</v>
      </c>
      <c r="O24" s="640">
        <f>+landbouw!N8</f>
        <v>0</v>
      </c>
      <c r="P24" s="640">
        <f>+landbouw!O8</f>
        <v>0</v>
      </c>
      <c r="Q24" s="641">
        <f>+landbouw!P8</f>
        <v>0</v>
      </c>
      <c r="R24" s="643">
        <f>SUM(C24:Q24)</f>
        <v>13201.105368582723</v>
      </c>
      <c r="S24" s="67"/>
    </row>
    <row r="25" spans="1:19" s="444" customFormat="1" ht="15" thickBot="1">
      <c r="A25" s="776" t="s">
        <v>806</v>
      </c>
      <c r="B25" s="939"/>
      <c r="C25" s="940">
        <f>IF(Onbekend_ele_kWh="---",0,Onbekend_ele_kWh)/1000+IF(REST_rest_ele_kWh="---",0,REST_rest_ele_kWh)/1000</f>
        <v>1006.95618031198</v>
      </c>
      <c r="D25" s="940"/>
      <c r="E25" s="940">
        <f>IF(onbekend_gas_kWh="---",0,onbekend_gas_kWh)/1000+IF(REST_rest_gas_kWh="---",0,REST_rest_gas_kWh)/1000</f>
        <v>1668.0093661951801</v>
      </c>
      <c r="F25" s="940"/>
      <c r="G25" s="940"/>
      <c r="H25" s="940"/>
      <c r="I25" s="940"/>
      <c r="J25" s="940"/>
      <c r="K25" s="940"/>
      <c r="L25" s="940"/>
      <c r="M25" s="940"/>
      <c r="N25" s="940"/>
      <c r="O25" s="940"/>
      <c r="P25" s="940"/>
      <c r="Q25" s="941"/>
      <c r="R25" s="643">
        <f>SUM(C25:Q25)</f>
        <v>2674.9655465071601</v>
      </c>
      <c r="S25" s="67"/>
    </row>
    <row r="26" spans="1:19" s="444" customFormat="1" ht="15.75" thickBot="1">
      <c r="A26" s="648" t="s">
        <v>807</v>
      </c>
      <c r="B26" s="762"/>
      <c r="C26" s="757">
        <f>SUM(C24:C25)</f>
        <v>3773.7532901959066</v>
      </c>
      <c r="D26" s="757">
        <f t="shared" ref="D26:R26" si="2">SUM(D24:D25)</f>
        <v>62.357142857142847</v>
      </c>
      <c r="E26" s="757">
        <f t="shared" si="2"/>
        <v>1887.2430260962565</v>
      </c>
      <c r="F26" s="757">
        <f t="shared" si="2"/>
        <v>57.451740048467457</v>
      </c>
      <c r="G26" s="757">
        <f t="shared" si="2"/>
        <v>9777.9315869106904</v>
      </c>
      <c r="H26" s="757">
        <f t="shared" si="2"/>
        <v>0</v>
      </c>
      <c r="I26" s="757">
        <f t="shared" si="2"/>
        <v>0</v>
      </c>
      <c r="J26" s="757">
        <f t="shared" si="2"/>
        <v>0</v>
      </c>
      <c r="K26" s="757">
        <f t="shared" si="2"/>
        <v>317.33412898141916</v>
      </c>
      <c r="L26" s="757">
        <f t="shared" si="2"/>
        <v>0</v>
      </c>
      <c r="M26" s="757">
        <f t="shared" si="2"/>
        <v>0</v>
      </c>
      <c r="N26" s="757">
        <f t="shared" si="2"/>
        <v>0</v>
      </c>
      <c r="O26" s="757">
        <f t="shared" si="2"/>
        <v>0</v>
      </c>
      <c r="P26" s="757">
        <f t="shared" si="2"/>
        <v>0</v>
      </c>
      <c r="Q26" s="757">
        <f t="shared" si="2"/>
        <v>0</v>
      </c>
      <c r="R26" s="757">
        <f t="shared" si="2"/>
        <v>15876.070915089884</v>
      </c>
      <c r="S26" s="67"/>
    </row>
    <row r="27" spans="1:19" s="444" customFormat="1" ht="17.25" thickTop="1" thickBot="1">
      <c r="A27" s="649" t="s">
        <v>109</v>
      </c>
      <c r="B27" s="749"/>
      <c r="C27" s="650">
        <f ca="1">C22+C16+C26</f>
        <v>56695.0908719894</v>
      </c>
      <c r="D27" s="650">
        <f t="shared" ref="D27:R27" ca="1" si="3">D22+D16+D26</f>
        <v>62.357142857142847</v>
      </c>
      <c r="E27" s="650">
        <f t="shared" ca="1" si="3"/>
        <v>75910.610493812055</v>
      </c>
      <c r="F27" s="650">
        <f t="shared" si="3"/>
        <v>2811.4013514814669</v>
      </c>
      <c r="G27" s="650">
        <f t="shared" ca="1" si="3"/>
        <v>76039.720625200833</v>
      </c>
      <c r="H27" s="650">
        <f t="shared" si="3"/>
        <v>60854.882616178722</v>
      </c>
      <c r="I27" s="650">
        <f t="shared" si="3"/>
        <v>13747.421261316498</v>
      </c>
      <c r="J27" s="650">
        <f t="shared" si="3"/>
        <v>0</v>
      </c>
      <c r="K27" s="650">
        <f t="shared" si="3"/>
        <v>1523.5611182761302</v>
      </c>
      <c r="L27" s="650">
        <f t="shared" si="3"/>
        <v>0</v>
      </c>
      <c r="M27" s="650">
        <f t="shared" ca="1" si="3"/>
        <v>0</v>
      </c>
      <c r="N27" s="650">
        <f t="shared" si="3"/>
        <v>3373.8687927805736</v>
      </c>
      <c r="O27" s="650">
        <f t="shared" ca="1" si="3"/>
        <v>12539.181639045653</v>
      </c>
      <c r="P27" s="650">
        <f t="shared" si="3"/>
        <v>125.06666666666668</v>
      </c>
      <c r="Q27" s="650">
        <f t="shared" si="3"/>
        <v>724.53333333333342</v>
      </c>
      <c r="R27" s="650">
        <f t="shared" ca="1" si="3"/>
        <v>304407.69591293851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3351.6406582160189</v>
      </c>
      <c r="D40" s="640">
        <f ca="1">tertiair!C20</f>
        <v>0</v>
      </c>
      <c r="E40" s="640">
        <f ca="1">tertiair!D20</f>
        <v>4106.3429856458988</v>
      </c>
      <c r="F40" s="640">
        <f>tertiair!E20</f>
        <v>20.221913604642808</v>
      </c>
      <c r="G40" s="640">
        <f ca="1">tertiair!F20</f>
        <v>515.86267109218329</v>
      </c>
      <c r="H40" s="640">
        <f>tertiair!G20</f>
        <v>0</v>
      </c>
      <c r="I40" s="640">
        <f>tertiair!H20</f>
        <v>0</v>
      </c>
      <c r="J40" s="640">
        <f>tertiair!I20</f>
        <v>0</v>
      </c>
      <c r="K40" s="640">
        <f>tertiair!J20</f>
        <v>6.6055531064698849</v>
      </c>
      <c r="L40" s="640">
        <f>tertiair!K20</f>
        <v>0</v>
      </c>
      <c r="M40" s="640">
        <f ca="1">tertiair!L20</f>
        <v>0</v>
      </c>
      <c r="N40" s="640">
        <f>tertiair!M20</f>
        <v>0</v>
      </c>
      <c r="O40" s="640">
        <f ca="1">tertiair!N20</f>
        <v>0</v>
      </c>
      <c r="P40" s="640">
        <f>tertiair!O20</f>
        <v>0</v>
      </c>
      <c r="Q40" s="717">
        <f>tertiair!P20</f>
        <v>0</v>
      </c>
      <c r="R40" s="795">
        <f t="shared" ca="1" si="4"/>
        <v>8000.6737816652139</v>
      </c>
    </row>
    <row r="41" spans="1:18">
      <c r="A41" s="767" t="s">
        <v>214</v>
      </c>
      <c r="B41" s="774"/>
      <c r="C41" s="640">
        <f ca="1">huishoudens!B12</f>
        <v>6792.9654994656157</v>
      </c>
      <c r="D41" s="640">
        <f ca="1">huishoudens!C12</f>
        <v>0</v>
      </c>
      <c r="E41" s="640">
        <f>huishoudens!D12</f>
        <v>10341.805062638003</v>
      </c>
      <c r="F41" s="640">
        <f>huishoudens!E12</f>
        <v>462.43481715298191</v>
      </c>
      <c r="G41" s="640">
        <f>huishoudens!F12</f>
        <v>16668.72012657853</v>
      </c>
      <c r="H41" s="640">
        <f>huishoudens!G12</f>
        <v>0</v>
      </c>
      <c r="I41" s="640">
        <f>huishoudens!H12</f>
        <v>0</v>
      </c>
      <c r="J41" s="640">
        <f>huishoudens!I12</f>
        <v>0</v>
      </c>
      <c r="K41" s="640">
        <f>huishoudens!J12</f>
        <v>418.53190479236241</v>
      </c>
      <c r="L41" s="640">
        <f>huishoudens!K12</f>
        <v>0</v>
      </c>
      <c r="M41" s="640">
        <f>huishoudens!L12</f>
        <v>0</v>
      </c>
      <c r="N41" s="640">
        <f>huishoudens!M12</f>
        <v>0</v>
      </c>
      <c r="O41" s="640">
        <f>huishoudens!N12</f>
        <v>0</v>
      </c>
      <c r="P41" s="640">
        <f>huishoudens!O12</f>
        <v>0</v>
      </c>
      <c r="Q41" s="717">
        <f>huishoudens!P12</f>
        <v>0</v>
      </c>
      <c r="R41" s="795">
        <f t="shared" ca="1" si="4"/>
        <v>34684.457410627489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799.08438067574241</v>
      </c>
      <c r="D43" s="640">
        <f ca="1">industrie!C22</f>
        <v>0</v>
      </c>
      <c r="E43" s="640">
        <f>industrie!D22</f>
        <v>503.01800601411708</v>
      </c>
      <c r="F43" s="640">
        <f>industrie!E22</f>
        <v>82.099670511437424</v>
      </c>
      <c r="G43" s="640">
        <f>industrie!F22</f>
        <v>507.31487555275589</v>
      </c>
      <c r="H43" s="640">
        <f>industrie!G22</f>
        <v>0</v>
      </c>
      <c r="I43" s="640">
        <f>industrie!H22</f>
        <v>0</v>
      </c>
      <c r="J43" s="640">
        <f>industrie!I22</f>
        <v>0</v>
      </c>
      <c r="K43" s="640">
        <f>industrie!J22</f>
        <v>1.8668963114954014</v>
      </c>
      <c r="L43" s="640">
        <f>industrie!K22</f>
        <v>0</v>
      </c>
      <c r="M43" s="640">
        <f>industrie!L22</f>
        <v>0</v>
      </c>
      <c r="N43" s="640">
        <f>industrie!M22</f>
        <v>0</v>
      </c>
      <c r="O43" s="640">
        <f>industrie!N22</f>
        <v>0</v>
      </c>
      <c r="P43" s="640">
        <f>industrie!O22</f>
        <v>0</v>
      </c>
      <c r="Q43" s="717">
        <f>industrie!P22</f>
        <v>0</v>
      </c>
      <c r="R43" s="794">
        <f t="shared" ca="1" si="4"/>
        <v>1893.3838290655481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10943.690538357378</v>
      </c>
      <c r="D46" s="675">
        <f t="shared" ref="D46:Q46" ca="1" si="5">SUM(D39:D45)</f>
        <v>0</v>
      </c>
      <c r="E46" s="675">
        <f t="shared" ca="1" si="5"/>
        <v>14951.166054298019</v>
      </c>
      <c r="F46" s="675">
        <f t="shared" si="5"/>
        <v>564.75640126906217</v>
      </c>
      <c r="G46" s="675">
        <f t="shared" ca="1" si="5"/>
        <v>17691.897673223466</v>
      </c>
      <c r="H46" s="675">
        <f t="shared" si="5"/>
        <v>0</v>
      </c>
      <c r="I46" s="675">
        <f t="shared" si="5"/>
        <v>0</v>
      </c>
      <c r="J46" s="675">
        <f t="shared" si="5"/>
        <v>0</v>
      </c>
      <c r="K46" s="675">
        <f t="shared" si="5"/>
        <v>427.00435421032768</v>
      </c>
      <c r="L46" s="675">
        <f t="shared" si="5"/>
        <v>0</v>
      </c>
      <c r="M46" s="675">
        <f t="shared" ca="1" si="5"/>
        <v>0</v>
      </c>
      <c r="N46" s="675">
        <f t="shared" si="5"/>
        <v>0</v>
      </c>
      <c r="O46" s="675">
        <f t="shared" ca="1" si="5"/>
        <v>0</v>
      </c>
      <c r="P46" s="675">
        <f t="shared" si="5"/>
        <v>0</v>
      </c>
      <c r="Q46" s="675">
        <f t="shared" si="5"/>
        <v>0</v>
      </c>
      <c r="R46" s="675">
        <f ca="1">SUM(R39:R45)</f>
        <v>44578.515021358253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1.6194843029135775</v>
      </c>
      <c r="D49" s="640">
        <f ca="1">transport!C58</f>
        <v>0</v>
      </c>
      <c r="E49" s="640">
        <f>transport!D58</f>
        <v>0</v>
      </c>
      <c r="F49" s="640">
        <f>transport!E58</f>
        <v>0</v>
      </c>
      <c r="G49" s="640">
        <f>transport!F58</f>
        <v>0</v>
      </c>
      <c r="H49" s="640">
        <f>transport!G58</f>
        <v>406.89277013048098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408.51225443339456</v>
      </c>
    </row>
    <row r="50" spans="1:18">
      <c r="A50" s="770" t="s">
        <v>296</v>
      </c>
      <c r="B50" s="780"/>
      <c r="C50" s="646">
        <f ca="1">transport!B18</f>
        <v>1.324705897103104</v>
      </c>
      <c r="D50" s="646">
        <f>transport!C18</f>
        <v>0</v>
      </c>
      <c r="E50" s="646">
        <f>transport!D18</f>
        <v>1.554174180574772</v>
      </c>
      <c r="F50" s="646">
        <f>transport!E18</f>
        <v>60.390160526228826</v>
      </c>
      <c r="G50" s="646">
        <f>transport!F18</f>
        <v>0</v>
      </c>
      <c r="H50" s="646">
        <f>transport!G18</f>
        <v>15841.360888389238</v>
      </c>
      <c r="I50" s="646">
        <f>transport!H18</f>
        <v>3423.107894067808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19327.737823060954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2.9441902000166813</v>
      </c>
      <c r="D52" s="675">
        <f t="shared" ref="D52:Q52" ca="1" si="6">SUM(D48:D51)</f>
        <v>0</v>
      </c>
      <c r="E52" s="675">
        <f t="shared" si="6"/>
        <v>1.554174180574772</v>
      </c>
      <c r="F52" s="675">
        <f t="shared" si="6"/>
        <v>60.390160526228826</v>
      </c>
      <c r="G52" s="675">
        <f t="shared" si="6"/>
        <v>0</v>
      </c>
      <c r="H52" s="675">
        <f t="shared" si="6"/>
        <v>16248.253658519718</v>
      </c>
      <c r="I52" s="675">
        <f t="shared" si="6"/>
        <v>3423.107894067808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19736.250077494347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572.30445627185509</v>
      </c>
      <c r="D54" s="646">
        <f ca="1">+landbouw!C12</f>
        <v>0</v>
      </c>
      <c r="E54" s="646">
        <f>+landbouw!D12</f>
        <v>44.285199300017418</v>
      </c>
      <c r="F54" s="646">
        <f>+landbouw!E12</f>
        <v>13.041544991002112</v>
      </c>
      <c r="G54" s="646">
        <f>+landbouw!F12</f>
        <v>2610.7077337051546</v>
      </c>
      <c r="H54" s="646">
        <f>+landbouw!G12</f>
        <v>0</v>
      </c>
      <c r="I54" s="646">
        <f>+landbouw!H12</f>
        <v>0</v>
      </c>
      <c r="J54" s="646">
        <f>+landbouw!I12</f>
        <v>0</v>
      </c>
      <c r="K54" s="646">
        <f>+landbouw!J12</f>
        <v>112.33628165942237</v>
      </c>
      <c r="L54" s="646">
        <f>+landbouw!K12</f>
        <v>0</v>
      </c>
      <c r="M54" s="646">
        <f>+landbouw!L12</f>
        <v>0</v>
      </c>
      <c r="N54" s="646">
        <f>+landbouw!M12</f>
        <v>0</v>
      </c>
      <c r="O54" s="646">
        <f>+landbouw!N12</f>
        <v>0</v>
      </c>
      <c r="P54" s="646">
        <f>+landbouw!O12</f>
        <v>0</v>
      </c>
      <c r="Q54" s="647">
        <f>+landbouw!P12</f>
        <v>0</v>
      </c>
      <c r="R54" s="674">
        <f ca="1">SUM(C54:Q54)</f>
        <v>3352.6752159274515</v>
      </c>
    </row>
    <row r="55" spans="1:18" ht="15" thickBot="1">
      <c r="A55" s="770" t="s">
        <v>806</v>
      </c>
      <c r="B55" s="780"/>
      <c r="C55" s="646">
        <f ca="1">C25*'EF ele_warmte'!B12</f>
        <v>208.28614689683852</v>
      </c>
      <c r="D55" s="646"/>
      <c r="E55" s="646">
        <f>E25*EF_CO2_aardgas</f>
        <v>336.93789197142638</v>
      </c>
      <c r="F55" s="646"/>
      <c r="G55" s="646"/>
      <c r="H55" s="646"/>
      <c r="I55" s="646"/>
      <c r="J55" s="646"/>
      <c r="K55" s="646"/>
      <c r="L55" s="646"/>
      <c r="M55" s="646"/>
      <c r="N55" s="646"/>
      <c r="O55" s="646"/>
      <c r="P55" s="646"/>
      <c r="Q55" s="647"/>
      <c r="R55" s="674">
        <f ca="1">SUM(C55:Q55)</f>
        <v>545.22403886826487</v>
      </c>
    </row>
    <row r="56" spans="1:18" ht="15.75" thickBot="1">
      <c r="A56" s="768" t="s">
        <v>807</v>
      </c>
      <c r="B56" s="781"/>
      <c r="C56" s="675">
        <f ca="1">SUM(C54:C55)</f>
        <v>780.59060316869363</v>
      </c>
      <c r="D56" s="675">
        <f t="shared" ref="D56:Q56" ca="1" si="7">SUM(D54:D55)</f>
        <v>0</v>
      </c>
      <c r="E56" s="675">
        <f t="shared" si="7"/>
        <v>381.22309127144382</v>
      </c>
      <c r="F56" s="675">
        <f t="shared" si="7"/>
        <v>13.041544991002112</v>
      </c>
      <c r="G56" s="675">
        <f t="shared" si="7"/>
        <v>2610.7077337051546</v>
      </c>
      <c r="H56" s="675">
        <f t="shared" si="7"/>
        <v>0</v>
      </c>
      <c r="I56" s="675">
        <f t="shared" si="7"/>
        <v>0</v>
      </c>
      <c r="J56" s="675">
        <f t="shared" si="7"/>
        <v>0</v>
      </c>
      <c r="K56" s="675">
        <f t="shared" si="7"/>
        <v>112.33628165942237</v>
      </c>
      <c r="L56" s="675">
        <f t="shared" si="7"/>
        <v>0</v>
      </c>
      <c r="M56" s="675">
        <f t="shared" si="7"/>
        <v>0</v>
      </c>
      <c r="N56" s="675">
        <f t="shared" si="7"/>
        <v>0</v>
      </c>
      <c r="O56" s="675">
        <f t="shared" si="7"/>
        <v>0</v>
      </c>
      <c r="P56" s="675">
        <f t="shared" si="7"/>
        <v>0</v>
      </c>
      <c r="Q56" s="676">
        <f t="shared" si="7"/>
        <v>0</v>
      </c>
      <c r="R56" s="677">
        <f ca="1">SUM(R54:R55)</f>
        <v>3897.8992547957164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11727.225331726087</v>
      </c>
      <c r="D61" s="683">
        <f t="shared" ref="D61:Q61" ca="1" si="8">D46+D52+D56</f>
        <v>0</v>
      </c>
      <c r="E61" s="683">
        <f t="shared" ca="1" si="8"/>
        <v>15333.943319750038</v>
      </c>
      <c r="F61" s="683">
        <f t="shared" si="8"/>
        <v>638.18810678629302</v>
      </c>
      <c r="G61" s="683">
        <f t="shared" ca="1" si="8"/>
        <v>20302.605406928622</v>
      </c>
      <c r="H61" s="683">
        <f t="shared" si="8"/>
        <v>16248.253658519718</v>
      </c>
      <c r="I61" s="683">
        <f t="shared" si="8"/>
        <v>3423.107894067808</v>
      </c>
      <c r="J61" s="683">
        <f t="shared" si="8"/>
        <v>0</v>
      </c>
      <c r="K61" s="683">
        <f t="shared" si="8"/>
        <v>539.34063586975003</v>
      </c>
      <c r="L61" s="683">
        <f t="shared" si="8"/>
        <v>0</v>
      </c>
      <c r="M61" s="683">
        <f t="shared" ca="1" si="8"/>
        <v>0</v>
      </c>
      <c r="N61" s="683">
        <f t="shared" si="8"/>
        <v>0</v>
      </c>
      <c r="O61" s="683">
        <f t="shared" ca="1" si="8"/>
        <v>0</v>
      </c>
      <c r="P61" s="683">
        <f t="shared" si="8"/>
        <v>0</v>
      </c>
      <c r="Q61" s="683">
        <f t="shared" si="8"/>
        <v>0</v>
      </c>
      <c r="R61" s="683">
        <f ca="1">R46+R52+R56</f>
        <v>68212.664353648317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0.20684727992066776</v>
      </c>
      <c r="D63" s="726">
        <f t="shared" ca="1" si="9"/>
        <v>0</v>
      </c>
      <c r="E63" s="946">
        <f t="shared" ca="1" si="9"/>
        <v>0.20200000000000004</v>
      </c>
      <c r="F63" s="726">
        <f t="shared" si="9"/>
        <v>0.22700000000000001</v>
      </c>
      <c r="G63" s="726">
        <f t="shared" ca="1" si="9"/>
        <v>0.26700000000000002</v>
      </c>
      <c r="H63" s="726">
        <f t="shared" si="9"/>
        <v>0.26699999999999996</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3587.0728551292696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43.649999999999991</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51.35294117647058</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3630.7228551292696</v>
      </c>
      <c r="C78" s="698">
        <f>SUM(C72:C77)</f>
        <v>0</v>
      </c>
      <c r="D78" s="699">
        <f t="shared" ref="D78:H78" si="10">SUM(D76:D77)</f>
        <v>0</v>
      </c>
      <c r="E78" s="699">
        <f t="shared" si="10"/>
        <v>0</v>
      </c>
      <c r="F78" s="699">
        <f t="shared" si="10"/>
        <v>0</v>
      </c>
      <c r="G78" s="699">
        <f t="shared" si="10"/>
        <v>0</v>
      </c>
      <c r="H78" s="699">
        <f t="shared" si="10"/>
        <v>0</v>
      </c>
      <c r="I78" s="699">
        <f>SUM(I76:I77)</f>
        <v>0</v>
      </c>
      <c r="J78" s="699">
        <f>SUM(J76:J77)</f>
        <v>51.35294117647058</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62.357142857142847</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73.361344537815114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62.357142857142847</v>
      </c>
      <c r="C90" s="698">
        <f>SUM(C87:C89)</f>
        <v>0</v>
      </c>
      <c r="D90" s="698">
        <f t="shared" ref="D90:H90" si="12">SUM(D87:D89)</f>
        <v>0</v>
      </c>
      <c r="E90" s="698">
        <f t="shared" si="12"/>
        <v>0</v>
      </c>
      <c r="F90" s="698">
        <f t="shared" si="12"/>
        <v>0</v>
      </c>
      <c r="G90" s="698">
        <f t="shared" si="12"/>
        <v>0</v>
      </c>
      <c r="H90" s="698">
        <f t="shared" si="12"/>
        <v>0</v>
      </c>
      <c r="I90" s="698">
        <f>SUM(I87:I89)</f>
        <v>0</v>
      </c>
      <c r="J90" s="698">
        <f>SUM(J87:J89)</f>
        <v>73.361344537815114</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32840.48744595977</v>
      </c>
      <c r="C4" s="448">
        <f>huishoudens!C8</f>
        <v>0</v>
      </c>
      <c r="D4" s="448">
        <f>huishoudens!D8</f>
        <v>51197.054765534667</v>
      </c>
      <c r="E4" s="448">
        <f>huishoudens!E8</f>
        <v>2037.1577848148982</v>
      </c>
      <c r="F4" s="448">
        <f>huishoudens!F8</f>
        <v>62429.663395425196</v>
      </c>
      <c r="G4" s="448">
        <f>huishoudens!G8</f>
        <v>0</v>
      </c>
      <c r="H4" s="448">
        <f>huishoudens!H8</f>
        <v>0</v>
      </c>
      <c r="I4" s="448">
        <f>huishoudens!I8</f>
        <v>0</v>
      </c>
      <c r="J4" s="448">
        <f>huishoudens!J8</f>
        <v>1182.2935163626057</v>
      </c>
      <c r="K4" s="448">
        <f>huishoudens!K8</f>
        <v>0</v>
      </c>
      <c r="L4" s="448">
        <f>huishoudens!L8</f>
        <v>0</v>
      </c>
      <c r="M4" s="448">
        <f>huishoudens!M8</f>
        <v>0</v>
      </c>
      <c r="N4" s="448">
        <f>huishoudens!N8</f>
        <v>10833.080288721125</v>
      </c>
      <c r="O4" s="448">
        <f>huishoudens!O8</f>
        <v>121.94000000000001</v>
      </c>
      <c r="P4" s="449">
        <f>huishoudens!P8</f>
        <v>667.33333333333337</v>
      </c>
      <c r="Q4" s="450">
        <f>SUM(B4:P4)</f>
        <v>161309.01053015163</v>
      </c>
    </row>
    <row r="5" spans="1:17">
      <c r="A5" s="447" t="s">
        <v>149</v>
      </c>
      <c r="B5" s="448">
        <f ca="1">tertiair!B16</f>
        <v>15349.446319796689</v>
      </c>
      <c r="C5" s="448">
        <f ca="1">tertiair!C16</f>
        <v>0</v>
      </c>
      <c r="D5" s="448">
        <f ca="1">tertiair!D16</f>
        <v>20328.4306220094</v>
      </c>
      <c r="E5" s="448">
        <f>tertiair!E16</f>
        <v>89.083319844241444</v>
      </c>
      <c r="F5" s="448">
        <f ca="1">tertiair!F16</f>
        <v>1932.069929184207</v>
      </c>
      <c r="G5" s="448">
        <f>tertiair!G16</f>
        <v>0</v>
      </c>
      <c r="H5" s="448">
        <f>tertiair!H16</f>
        <v>0</v>
      </c>
      <c r="I5" s="448">
        <f>tertiair!I16</f>
        <v>0</v>
      </c>
      <c r="J5" s="448">
        <f>tertiair!J16</f>
        <v>18.659754538050525</v>
      </c>
      <c r="K5" s="448">
        <f>tertiair!K16</f>
        <v>0</v>
      </c>
      <c r="L5" s="448">
        <f ca="1">tertiair!L16</f>
        <v>0</v>
      </c>
      <c r="M5" s="448">
        <f>tertiair!M16</f>
        <v>0</v>
      </c>
      <c r="N5" s="448">
        <f ca="1">tertiair!N16</f>
        <v>1287.1523594622035</v>
      </c>
      <c r="O5" s="448">
        <f>tertiair!O16</f>
        <v>3.1266666666666669</v>
      </c>
      <c r="P5" s="449">
        <f>tertiair!P16</f>
        <v>57.2</v>
      </c>
      <c r="Q5" s="447">
        <f t="shared" ref="Q5:Q14" ca="1" si="0">SUM(B5:P5)</f>
        <v>39065.168971501458</v>
      </c>
    </row>
    <row r="6" spans="1:17">
      <c r="A6" s="447" t="s">
        <v>187</v>
      </c>
      <c r="B6" s="448">
        <f>'openbare verlichting'!B8</f>
        <v>854.00900000000001</v>
      </c>
      <c r="C6" s="448"/>
      <c r="D6" s="448"/>
      <c r="E6" s="448"/>
      <c r="F6" s="448"/>
      <c r="G6" s="448"/>
      <c r="H6" s="448"/>
      <c r="I6" s="448"/>
      <c r="J6" s="448"/>
      <c r="K6" s="448"/>
      <c r="L6" s="448"/>
      <c r="M6" s="448"/>
      <c r="N6" s="448"/>
      <c r="O6" s="448"/>
      <c r="P6" s="449"/>
      <c r="Q6" s="447">
        <f t="shared" si="0"/>
        <v>854.00900000000001</v>
      </c>
    </row>
    <row r="7" spans="1:17">
      <c r="A7" s="447" t="s">
        <v>105</v>
      </c>
      <c r="B7" s="448">
        <f>landbouw!B8</f>
        <v>2766.7971098839266</v>
      </c>
      <c r="C7" s="448">
        <f>landbouw!C8</f>
        <v>62.357142857142847</v>
      </c>
      <c r="D7" s="448">
        <f>landbouw!D8</f>
        <v>219.23365990107632</v>
      </c>
      <c r="E7" s="448">
        <f>landbouw!E8</f>
        <v>57.451740048467457</v>
      </c>
      <c r="F7" s="448">
        <f>landbouw!F8</f>
        <v>9777.9315869106904</v>
      </c>
      <c r="G7" s="448">
        <f>landbouw!G8</f>
        <v>0</v>
      </c>
      <c r="H7" s="448">
        <f>landbouw!H8</f>
        <v>0</v>
      </c>
      <c r="I7" s="448">
        <f>landbouw!I8</f>
        <v>0</v>
      </c>
      <c r="J7" s="448">
        <f>landbouw!J8</f>
        <v>317.33412898141916</v>
      </c>
      <c r="K7" s="448">
        <f>landbouw!K8</f>
        <v>0</v>
      </c>
      <c r="L7" s="448">
        <f>landbouw!L8</f>
        <v>0</v>
      </c>
      <c r="M7" s="448">
        <f>landbouw!M8</f>
        <v>0</v>
      </c>
      <c r="N7" s="448">
        <f>landbouw!N8</f>
        <v>0</v>
      </c>
      <c r="O7" s="448">
        <f>landbouw!O8</f>
        <v>0</v>
      </c>
      <c r="P7" s="449">
        <f>landbouw!P8</f>
        <v>0</v>
      </c>
      <c r="Q7" s="447">
        <f t="shared" si="0"/>
        <v>13201.105368582723</v>
      </c>
    </row>
    <row r="8" spans="1:17">
      <c r="A8" s="447" t="s">
        <v>614</v>
      </c>
      <c r="B8" s="448">
        <f>industrie!B18</f>
        <v>3863.1611737036892</v>
      </c>
      <c r="C8" s="448">
        <f>industrie!C18</f>
        <v>0</v>
      </c>
      <c r="D8" s="448">
        <f>industrie!D18</f>
        <v>2490.188148584738</v>
      </c>
      <c r="E8" s="448">
        <f>industrie!E18</f>
        <v>361.67255731910757</v>
      </c>
      <c r="F8" s="448">
        <f>industrie!F18</f>
        <v>1900.0557136807336</v>
      </c>
      <c r="G8" s="448">
        <f>industrie!G18</f>
        <v>0</v>
      </c>
      <c r="H8" s="448">
        <f>industrie!H18</f>
        <v>0</v>
      </c>
      <c r="I8" s="448">
        <f>industrie!I18</f>
        <v>0</v>
      </c>
      <c r="J8" s="448">
        <f>industrie!J18</f>
        <v>5.2737183940548062</v>
      </c>
      <c r="K8" s="448">
        <f>industrie!K18</f>
        <v>0</v>
      </c>
      <c r="L8" s="448">
        <f>industrie!L18</f>
        <v>0</v>
      </c>
      <c r="M8" s="448">
        <f>industrie!M18</f>
        <v>0</v>
      </c>
      <c r="N8" s="448">
        <f>industrie!N18</f>
        <v>418.9489908623259</v>
      </c>
      <c r="O8" s="448">
        <f>industrie!O18</f>
        <v>0</v>
      </c>
      <c r="P8" s="449">
        <f>industrie!P18</f>
        <v>0</v>
      </c>
      <c r="Q8" s="447">
        <f t="shared" si="0"/>
        <v>9039.3003025446487</v>
      </c>
    </row>
    <row r="9" spans="1:17" s="453" customFormat="1">
      <c r="A9" s="451" t="s">
        <v>555</v>
      </c>
      <c r="B9" s="452">
        <f>transport!B14</f>
        <v>6.4042703274182244</v>
      </c>
      <c r="C9" s="452">
        <f>transport!C14</f>
        <v>0</v>
      </c>
      <c r="D9" s="452">
        <f>transport!D14</f>
        <v>7.6939315870038216</v>
      </c>
      <c r="E9" s="452">
        <f>transport!E14</f>
        <v>266.03594945475254</v>
      </c>
      <c r="F9" s="452">
        <f>transport!F14</f>
        <v>0</v>
      </c>
      <c r="G9" s="452">
        <f>transport!G14</f>
        <v>59330.939656888528</v>
      </c>
      <c r="H9" s="452">
        <f>transport!H14</f>
        <v>13747.421261316498</v>
      </c>
      <c r="I9" s="452">
        <f>transport!I14</f>
        <v>0</v>
      </c>
      <c r="J9" s="452">
        <f>transport!J14</f>
        <v>0</v>
      </c>
      <c r="K9" s="452">
        <f>transport!K14</f>
        <v>0</v>
      </c>
      <c r="L9" s="452">
        <f>transport!L14</f>
        <v>0</v>
      </c>
      <c r="M9" s="452">
        <f>transport!M14</f>
        <v>3305.5339099695798</v>
      </c>
      <c r="N9" s="452">
        <f>transport!N14</f>
        <v>0</v>
      </c>
      <c r="O9" s="452">
        <f>transport!O14</f>
        <v>0</v>
      </c>
      <c r="P9" s="452">
        <f>transport!P14</f>
        <v>0</v>
      </c>
      <c r="Q9" s="451">
        <f>SUM(B9:P9)</f>
        <v>76664.028979543786</v>
      </c>
    </row>
    <row r="10" spans="1:17">
      <c r="A10" s="447" t="s">
        <v>545</v>
      </c>
      <c r="B10" s="448">
        <f>transport!B54</f>
        <v>7.8293720059296845</v>
      </c>
      <c r="C10" s="448">
        <f>transport!C54</f>
        <v>0</v>
      </c>
      <c r="D10" s="448">
        <f>transport!D54</f>
        <v>0</v>
      </c>
      <c r="E10" s="448">
        <f>transport!E54</f>
        <v>0</v>
      </c>
      <c r="F10" s="448">
        <f>transport!F54</f>
        <v>0</v>
      </c>
      <c r="G10" s="448">
        <f>transport!G54</f>
        <v>1523.9429592901909</v>
      </c>
      <c r="H10" s="448">
        <f>transport!H54</f>
        <v>0</v>
      </c>
      <c r="I10" s="448">
        <f>transport!I54</f>
        <v>0</v>
      </c>
      <c r="J10" s="448">
        <f>transport!J54</f>
        <v>0</v>
      </c>
      <c r="K10" s="448">
        <f>transport!K54</f>
        <v>0</v>
      </c>
      <c r="L10" s="448">
        <f>transport!L54</f>
        <v>0</v>
      </c>
      <c r="M10" s="448">
        <f>transport!M54</f>
        <v>68.334882810993648</v>
      </c>
      <c r="N10" s="448">
        <f>transport!N54</f>
        <v>0</v>
      </c>
      <c r="O10" s="448">
        <f>transport!O54</f>
        <v>0</v>
      </c>
      <c r="P10" s="449">
        <f>transport!P54</f>
        <v>0</v>
      </c>
      <c r="Q10" s="447">
        <f t="shared" si="0"/>
        <v>1600.107214107114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1006.95618031198</v>
      </c>
      <c r="C14" s="455"/>
      <c r="D14" s="455">
        <f>'SEAP template'!E25</f>
        <v>1668.0093661951801</v>
      </c>
      <c r="E14" s="455"/>
      <c r="F14" s="455"/>
      <c r="G14" s="455"/>
      <c r="H14" s="455"/>
      <c r="I14" s="455"/>
      <c r="J14" s="455"/>
      <c r="K14" s="455"/>
      <c r="L14" s="455"/>
      <c r="M14" s="455"/>
      <c r="N14" s="455"/>
      <c r="O14" s="455"/>
      <c r="P14" s="456"/>
      <c r="Q14" s="447">
        <f t="shared" si="0"/>
        <v>2674.9655465071601</v>
      </c>
    </row>
    <row r="15" spans="1:17" s="460" customFormat="1">
      <c r="A15" s="457" t="s">
        <v>549</v>
      </c>
      <c r="B15" s="458">
        <f ca="1">SUM(B4:B14)</f>
        <v>56695.0908719894</v>
      </c>
      <c r="C15" s="458">
        <f t="shared" ref="C15:Q15" ca="1" si="1">SUM(C4:C14)</f>
        <v>62.357142857142847</v>
      </c>
      <c r="D15" s="458">
        <f t="shared" ca="1" si="1"/>
        <v>75910.610493812055</v>
      </c>
      <c r="E15" s="458">
        <f t="shared" si="1"/>
        <v>2811.4013514814669</v>
      </c>
      <c r="F15" s="458">
        <f t="shared" ca="1" si="1"/>
        <v>76039.720625200833</v>
      </c>
      <c r="G15" s="458">
        <f t="shared" si="1"/>
        <v>60854.882616178722</v>
      </c>
      <c r="H15" s="458">
        <f t="shared" si="1"/>
        <v>13747.421261316498</v>
      </c>
      <c r="I15" s="458">
        <f t="shared" si="1"/>
        <v>0</v>
      </c>
      <c r="J15" s="458">
        <f t="shared" si="1"/>
        <v>1523.5611182761302</v>
      </c>
      <c r="K15" s="458">
        <f t="shared" si="1"/>
        <v>0</v>
      </c>
      <c r="L15" s="458">
        <f t="shared" ca="1" si="1"/>
        <v>0</v>
      </c>
      <c r="M15" s="458">
        <f t="shared" si="1"/>
        <v>3373.8687927805736</v>
      </c>
      <c r="N15" s="458">
        <f t="shared" ca="1" si="1"/>
        <v>12539.181639045653</v>
      </c>
      <c r="O15" s="458">
        <f t="shared" si="1"/>
        <v>125.06666666666668</v>
      </c>
      <c r="P15" s="458">
        <f t="shared" si="1"/>
        <v>724.53333333333342</v>
      </c>
      <c r="Q15" s="458">
        <f t="shared" ca="1" si="1"/>
        <v>304407.69591293851</v>
      </c>
    </row>
    <row r="17" spans="1:17">
      <c r="A17" s="461" t="s">
        <v>550</v>
      </c>
      <c r="B17" s="731">
        <f ca="1">huishoudens!B10</f>
        <v>0.20684727992066776</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6792.9654994656157</v>
      </c>
      <c r="C22" s="448">
        <f t="shared" ref="C22:C32" ca="1" si="3">C4*$C$17</f>
        <v>0</v>
      </c>
      <c r="D22" s="448">
        <f t="shared" ref="D22:D32" si="4">D4*$D$17</f>
        <v>10341.805062638003</v>
      </c>
      <c r="E22" s="448">
        <f t="shared" ref="E22:E32" si="5">E4*$E$17</f>
        <v>462.43481715298191</v>
      </c>
      <c r="F22" s="448">
        <f t="shared" ref="F22:F32" si="6">F4*$F$17</f>
        <v>16668.72012657853</v>
      </c>
      <c r="G22" s="448">
        <f t="shared" ref="G22:G32" si="7">G4*$G$17</f>
        <v>0</v>
      </c>
      <c r="H22" s="448">
        <f t="shared" ref="H22:H32" si="8">H4*$H$17</f>
        <v>0</v>
      </c>
      <c r="I22" s="448">
        <f t="shared" ref="I22:I32" si="9">I4*$I$17</f>
        <v>0</v>
      </c>
      <c r="J22" s="448">
        <f t="shared" ref="J22:J32" si="10">J4*$J$17</f>
        <v>418.53190479236241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34684.457410627489</v>
      </c>
    </row>
    <row r="23" spans="1:17">
      <c r="A23" s="447" t="s">
        <v>149</v>
      </c>
      <c r="B23" s="448">
        <f t="shared" ca="1" si="2"/>
        <v>3174.9912195382494</v>
      </c>
      <c r="C23" s="448">
        <f t="shared" ca="1" si="3"/>
        <v>0</v>
      </c>
      <c r="D23" s="448">
        <f t="shared" ca="1" si="4"/>
        <v>4106.3429856458988</v>
      </c>
      <c r="E23" s="448">
        <f t="shared" si="5"/>
        <v>20.221913604642808</v>
      </c>
      <c r="F23" s="448">
        <f t="shared" ca="1" si="6"/>
        <v>515.86267109218329</v>
      </c>
      <c r="G23" s="448">
        <f t="shared" si="7"/>
        <v>0</v>
      </c>
      <c r="H23" s="448">
        <f t="shared" si="8"/>
        <v>0</v>
      </c>
      <c r="I23" s="448">
        <f t="shared" si="9"/>
        <v>0</v>
      </c>
      <c r="J23" s="448">
        <f t="shared" si="10"/>
        <v>6.6055531064698849</v>
      </c>
      <c r="K23" s="448">
        <f t="shared" si="11"/>
        <v>0</v>
      </c>
      <c r="L23" s="448">
        <f t="shared" ca="1" si="12"/>
        <v>0</v>
      </c>
      <c r="M23" s="448">
        <f t="shared" si="13"/>
        <v>0</v>
      </c>
      <c r="N23" s="448">
        <f t="shared" ca="1" si="14"/>
        <v>0</v>
      </c>
      <c r="O23" s="448">
        <f t="shared" si="15"/>
        <v>0</v>
      </c>
      <c r="P23" s="449">
        <f t="shared" si="16"/>
        <v>0</v>
      </c>
      <c r="Q23" s="447">
        <f t="shared" ref="Q23:Q32" ca="1" si="17">SUM(B23:P23)</f>
        <v>7824.0243429874445</v>
      </c>
    </row>
    <row r="24" spans="1:17">
      <c r="A24" s="447" t="s">
        <v>187</v>
      </c>
      <c r="B24" s="448">
        <f t="shared" ca="1" si="2"/>
        <v>176.64943867776955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176.64943867776955</v>
      </c>
    </row>
    <row r="25" spans="1:17">
      <c r="A25" s="447" t="s">
        <v>105</v>
      </c>
      <c r="B25" s="448">
        <f t="shared" ca="1" si="2"/>
        <v>572.30445627185509</v>
      </c>
      <c r="C25" s="448">
        <f t="shared" ca="1" si="3"/>
        <v>0</v>
      </c>
      <c r="D25" s="448">
        <f t="shared" si="4"/>
        <v>44.285199300017418</v>
      </c>
      <c r="E25" s="448">
        <f t="shared" si="5"/>
        <v>13.041544991002112</v>
      </c>
      <c r="F25" s="448">
        <f t="shared" si="6"/>
        <v>2610.7077337051546</v>
      </c>
      <c r="G25" s="448">
        <f t="shared" si="7"/>
        <v>0</v>
      </c>
      <c r="H25" s="448">
        <f t="shared" si="8"/>
        <v>0</v>
      </c>
      <c r="I25" s="448">
        <f t="shared" si="9"/>
        <v>0</v>
      </c>
      <c r="J25" s="448">
        <f t="shared" si="10"/>
        <v>112.33628165942237</v>
      </c>
      <c r="K25" s="448">
        <f t="shared" si="11"/>
        <v>0</v>
      </c>
      <c r="L25" s="448">
        <f t="shared" si="12"/>
        <v>0</v>
      </c>
      <c r="M25" s="448">
        <f t="shared" si="13"/>
        <v>0</v>
      </c>
      <c r="N25" s="448">
        <f t="shared" si="14"/>
        <v>0</v>
      </c>
      <c r="O25" s="448">
        <f t="shared" si="15"/>
        <v>0</v>
      </c>
      <c r="P25" s="449">
        <f t="shared" si="16"/>
        <v>0</v>
      </c>
      <c r="Q25" s="447">
        <f t="shared" ca="1" si="17"/>
        <v>3352.6752159274515</v>
      </c>
    </row>
    <row r="26" spans="1:17">
      <c r="A26" s="447" t="s">
        <v>614</v>
      </c>
      <c r="B26" s="448">
        <f t="shared" ca="1" si="2"/>
        <v>799.08438067574241</v>
      </c>
      <c r="C26" s="448">
        <f t="shared" ca="1" si="3"/>
        <v>0</v>
      </c>
      <c r="D26" s="448">
        <f t="shared" si="4"/>
        <v>503.01800601411708</v>
      </c>
      <c r="E26" s="448">
        <f t="shared" si="5"/>
        <v>82.099670511437424</v>
      </c>
      <c r="F26" s="448">
        <f t="shared" si="6"/>
        <v>507.31487555275589</v>
      </c>
      <c r="G26" s="448">
        <f t="shared" si="7"/>
        <v>0</v>
      </c>
      <c r="H26" s="448">
        <f t="shared" si="8"/>
        <v>0</v>
      </c>
      <c r="I26" s="448">
        <f t="shared" si="9"/>
        <v>0</v>
      </c>
      <c r="J26" s="448">
        <f t="shared" si="10"/>
        <v>1.8668963114954014</v>
      </c>
      <c r="K26" s="448">
        <f t="shared" si="11"/>
        <v>0</v>
      </c>
      <c r="L26" s="448">
        <f t="shared" si="12"/>
        <v>0</v>
      </c>
      <c r="M26" s="448">
        <f t="shared" si="13"/>
        <v>0</v>
      </c>
      <c r="N26" s="448">
        <f t="shared" si="14"/>
        <v>0</v>
      </c>
      <c r="O26" s="448">
        <f t="shared" si="15"/>
        <v>0</v>
      </c>
      <c r="P26" s="449">
        <f t="shared" si="16"/>
        <v>0</v>
      </c>
      <c r="Q26" s="447">
        <f t="shared" ca="1" si="17"/>
        <v>1893.3838290655481</v>
      </c>
    </row>
    <row r="27" spans="1:17" s="453" customFormat="1">
      <c r="A27" s="451" t="s">
        <v>555</v>
      </c>
      <c r="B27" s="725">
        <f t="shared" ca="1" si="2"/>
        <v>1.324705897103104</v>
      </c>
      <c r="C27" s="452">
        <f t="shared" ca="1" si="3"/>
        <v>0</v>
      </c>
      <c r="D27" s="452">
        <f t="shared" si="4"/>
        <v>1.554174180574772</v>
      </c>
      <c r="E27" s="452">
        <f t="shared" si="5"/>
        <v>60.390160526228826</v>
      </c>
      <c r="F27" s="452">
        <f t="shared" si="6"/>
        <v>0</v>
      </c>
      <c r="G27" s="452">
        <f t="shared" si="7"/>
        <v>15841.360888389238</v>
      </c>
      <c r="H27" s="452">
        <f t="shared" si="8"/>
        <v>3423.107894067808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19327.737823060954</v>
      </c>
    </row>
    <row r="28" spans="1:17">
      <c r="A28" s="447" t="s">
        <v>545</v>
      </c>
      <c r="B28" s="448">
        <f t="shared" ca="1" si="2"/>
        <v>1.6194843029135775</v>
      </c>
      <c r="C28" s="448">
        <f t="shared" ca="1" si="3"/>
        <v>0</v>
      </c>
      <c r="D28" s="448">
        <f t="shared" si="4"/>
        <v>0</v>
      </c>
      <c r="E28" s="448">
        <f t="shared" si="5"/>
        <v>0</v>
      </c>
      <c r="F28" s="448">
        <f t="shared" si="6"/>
        <v>0</v>
      </c>
      <c r="G28" s="448">
        <f t="shared" si="7"/>
        <v>406.89277013048098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408.51225443339456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208.28614689683852</v>
      </c>
      <c r="C32" s="448">
        <f t="shared" ca="1" si="3"/>
        <v>0</v>
      </c>
      <c r="D32" s="448">
        <f t="shared" si="4"/>
        <v>336.93789197142638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545.22403886826487</v>
      </c>
    </row>
    <row r="33" spans="1:17" s="460" customFormat="1">
      <c r="A33" s="457" t="s">
        <v>549</v>
      </c>
      <c r="B33" s="458">
        <f ca="1">SUM(B22:B32)</f>
        <v>11727.225331726087</v>
      </c>
      <c r="C33" s="458">
        <f t="shared" ref="C33:Q33" ca="1" si="18">SUM(C22:C32)</f>
        <v>0</v>
      </c>
      <c r="D33" s="458">
        <f t="shared" ca="1" si="18"/>
        <v>15333.943319750038</v>
      </c>
      <c r="E33" s="458">
        <f t="shared" si="18"/>
        <v>638.18810678629302</v>
      </c>
      <c r="F33" s="458">
        <f t="shared" ca="1" si="18"/>
        <v>20302.605406928622</v>
      </c>
      <c r="G33" s="458">
        <f t="shared" si="18"/>
        <v>16248.253658519718</v>
      </c>
      <c r="H33" s="458">
        <f t="shared" si="18"/>
        <v>3423.107894067808</v>
      </c>
      <c r="I33" s="458">
        <f t="shared" si="18"/>
        <v>0</v>
      </c>
      <c r="J33" s="458">
        <f t="shared" si="18"/>
        <v>539.34063586975014</v>
      </c>
      <c r="K33" s="458">
        <f t="shared" si="18"/>
        <v>0</v>
      </c>
      <c r="L33" s="458">
        <f t="shared" ca="1" si="18"/>
        <v>0</v>
      </c>
      <c r="M33" s="458">
        <f t="shared" si="18"/>
        <v>0</v>
      </c>
      <c r="N33" s="458">
        <f t="shared" ca="1" si="18"/>
        <v>0</v>
      </c>
      <c r="O33" s="458">
        <f t="shared" si="18"/>
        <v>0</v>
      </c>
      <c r="P33" s="458">
        <f t="shared" si="18"/>
        <v>0</v>
      </c>
      <c r="Q33" s="458">
        <f t="shared" ca="1" si="18"/>
        <v>68212.664353648332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3587.0728551292696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43.649999999999991</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51.35294117647058</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3630.7228551292696</v>
      </c>
      <c r="C10" s="986">
        <f>SUM(C4:C9)</f>
        <v>0</v>
      </c>
      <c r="D10" s="986">
        <f t="shared" ref="D10:H10" si="0">SUM(D8:D9)</f>
        <v>0</v>
      </c>
      <c r="E10" s="986">
        <f t="shared" si="0"/>
        <v>0</v>
      </c>
      <c r="F10" s="986">
        <f t="shared" si="0"/>
        <v>0</v>
      </c>
      <c r="G10" s="986">
        <f t="shared" si="0"/>
        <v>0</v>
      </c>
      <c r="H10" s="986">
        <f t="shared" si="0"/>
        <v>0</v>
      </c>
      <c r="I10" s="986">
        <f>SUM(I8:I9)</f>
        <v>0</v>
      </c>
      <c r="J10" s="986">
        <f>SUM(J8:J9)</f>
        <v>51.35294117647058</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0.20684727992066776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62.357142857142847</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73.361344537815114</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62.357142857142847</v>
      </c>
      <c r="C20" s="986">
        <f>SUM(C17:C19)</f>
        <v>0</v>
      </c>
      <c r="D20" s="986">
        <f t="shared" ref="D20:H20" si="2">SUM(D17:D19)</f>
        <v>0</v>
      </c>
      <c r="E20" s="986">
        <f t="shared" si="2"/>
        <v>0</v>
      </c>
      <c r="F20" s="986">
        <f t="shared" si="2"/>
        <v>0</v>
      </c>
      <c r="G20" s="986">
        <f t="shared" si="2"/>
        <v>0</v>
      </c>
      <c r="H20" s="986">
        <f t="shared" si="2"/>
        <v>0</v>
      </c>
      <c r="I20" s="986">
        <f>SUM(I17:I19)</f>
        <v>0</v>
      </c>
      <c r="J20" s="986">
        <f>SUM(J17:J19)</f>
        <v>73.361344537815114</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0.20684727992066776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2022-07-26T11:56:44Z</dcterms:modified>
</cp:coreProperties>
</file>