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338D6442-2C16-4996-832B-A42603D5DB0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<sst xmlns="http://schemas.openxmlformats.org/spreadsheetml/2006/main" count="2441" uniqueCount="908">
  <si>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</si>
  <si>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</si>
  <si>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</si>
  <si>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</si>
  <si>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</si>
  <si>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</si>
  <si>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</si>
  <si>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</si>
  <si>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</si>
  <si>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</si>
  <si>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</si>
  <si>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</si>
  <si>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</si>
  <si>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</si>
  <si>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</si>
  <si>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</si>
  <si>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</si>
  <si>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</si>
  <si>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</si>
  <si>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</si>
  <si>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</si>
  <si>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</si>
  <si>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</si>
  <si>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</si>
  <si>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</si>
  <si>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</si>
  <si>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</si>
  <si>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</si>
  <si>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</si>
  <si>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</si>
  <si>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</si>
  <si>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</si>
  <si>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</si>
  <si>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</si>
  <si>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</si>
  <si>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</si>
  <si>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</si>
  <si>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</si>
  <si>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</si>
  <si>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</si>
  <si>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</si>
  <si>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</si>
  <si>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</si>
  <si>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</si>
  <si>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</si>
  <si>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</si>
  <si>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</si>
  <si>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</si>
  <si>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</si>
  <si>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</si>
  <si>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</si>
  <si>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</si>
  <si>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</si>
  <si>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</si>
  <si>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</si>
  <si>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</si>
  <si>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</si>
  <si>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</si>
  <si>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</si>
  <si>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</si>
  <si>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</si>
  <si>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</si>
  <si>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</si>
  <si>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</si>
  <si>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</si>
  <si>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</si>
  <si>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</si>
  <si>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</si>
  <si>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</si>
  <si>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</si>
  <si>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</si>
  <si>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</si>
  <si>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</si>
  <si>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</si>
  <si>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</si>
  <si>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</si>
  <si>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</si>
  <si>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</si>
  <si>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</si>
  <si>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</si>
  <si>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</si>
  <si>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</si>
  <si>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</si>
  <si>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</si>
  <si>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</si>
  <si>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</si>
  <si>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</si>
  <si>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</si>
  <si>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</si>
  <si>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</si>
  <si>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</si>
  <si>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</si>
  <si>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</si>
  <si>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</si>
  <si>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</si>
  <si>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</si>
  <si>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</si>
  <si>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</si>
  <si>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</si>
  <si>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</si>
  <si>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</si>
  <si>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</si>
  <si>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</si>
  <si>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</si>
  <si>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</si>
  <si>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</si>
  <si>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</si>
  <si>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</si>
  <si>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</si>
  <si>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</si>
  <si>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</si>
  <si>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</si>
  <si>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</si>
  <si>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</si>
  <si>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</si>
  <si>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</si>
  <si>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</si>
  <si>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</si>
  <si>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</si>
  <si>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</si>
  <si>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</si>
  <si>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</si>
  <si>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</si>
  <si>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</si>
  <si>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</si>
  <si>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</si>
  <si>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</si>
  <si>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</si>
  <si>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</si>
  <si>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</si>
  <si>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</si>
  <si>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</si>
  <si>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</si>
  <si>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</si>
  <si>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</si>
  <si>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</si>
  <si>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</si>
  <si>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</si>
  <si>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</si>
  <si>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</si>
  <si>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</si>
  <si>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</si>
  <si>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</si>
  <si>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</si>
  <si>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</si>
  <si>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</si>
  <si>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</si>
  <si>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</si>
  <si>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</si>
  <si>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</si>
  <si>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</si>
  <si>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</si>
  <si>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</si>
  <si>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</si>
  <si>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</si>
  <si>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</si>
  <si>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</si>
  <si>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</si>
  <si>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</si>
  <si>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</si>
  <si>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</si>
  <si>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</si>
  <si>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</si>
  <si>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</si>
  <si>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</si>
  <si>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</si>
  <si>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</si>
  <si>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</si>
  <si>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</si>
  <si>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</si>
  <si>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</si>
  <si>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</si>
  <si>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</si>
  <si>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</si>
  <si>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</si>
  <si>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</si>
  <si>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</si>
  <si>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</si>
  <si>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</si>
  <si>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</si>
  <si>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</si>
  <si>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</si>
  <si>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</si>
  <si>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</si>
  <si>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</si>
  <si>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</si>
  <si>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</si>
  <si>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</si>
  <si>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</si>
  <si>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</si>
  <si>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</si>
  <si>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</si>
  <si>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</si>
  <si>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</si>
  <si>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</si>
  <si>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</si>
  <si>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</si>
  <si>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</si>
  <si>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</si>
  <si>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</si>
  <si>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</si>
  <si>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</si>
  <si>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</si>
  <si>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</si>
  <si>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</si>
  <si>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</si>
  <si>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</si>
  <si>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</si>
  <si>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</si>
  <si>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</si>
  <si>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</si>
  <si>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</si>
  <si>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</si>
  <si>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</si>
  <si>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</si>
  <si>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</si>
  <si>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</si>
  <si>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</si>
  <si>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</si>
  <si>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</si>
  <si>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</si>
  <si>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</si>
  <si>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</si>
  <si>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</si>
  <si>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</si>
  <si>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</si>
  <si>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</si>
  <si>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</si>
  <si>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</si>
  <si>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</si>
  <si>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</si>
  <si>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</si>
  <si>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</si>
  <si>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</si>
  <si>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</si>
  <si>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</si>
  <si>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</si>
  <si>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</si>
  <si>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</si>
  <si>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</si>
  <si>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</si>
  <si>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</si>
  <si>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</si>
  <si>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</si>
  <si>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</si>
  <si>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</si>
  <si>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</si>
  <si>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</si>
  <si>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</si>
  <si>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</si>
  <si>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</si>
  <si>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</si>
  <si>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</si>
  <si>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</si>
  <si>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</si>
  <si>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</si>
  <si>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</si>
  <si>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</si>
  <si>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</si>
  <si>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</si>
  <si>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</si>
  <si>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</si>
  <si>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</si>
  <si>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</si>
  <si>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</si>
  <si>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</si>
  <si>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</si>
  <si>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</si>
  <si>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</si>
  <si>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</si>
  <si>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</si>
  <si>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</si>
  <si>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</si>
  <si>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</si>
  <si>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</si>
  <si>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</si>
  <si>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</si>
  <si>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</si>
  <si>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</si>
  <si>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</si>
  <si>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</si>
  <si>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</si>
  <si>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</si>
  <si>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</si>
  <si>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</si>
  <si>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</si>
  <si>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</si>
  <si>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</si>
  <si>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</si>
  <si>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</si>
  <si>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</si>
  <si>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</si>
  <si>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</si>
  <si>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</si>
  <si>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</si>
  <si>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</si>
  <si>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</si>
  <si>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</si>
  <si>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</si>
  <si>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</si>
  <si>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</si>
  <si>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</si>
  <si>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</si>
  <si>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</si>
  <si>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</si>
  <si>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</si>
  <si>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</si>
  <si>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</si>
  <si>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</si>
  <si>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</si>
  <si>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</si>
  <si>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</si>
  <si>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</si>
  <si>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</si>
  <si>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</si>
  <si>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</si>
  <si>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</si>
  <si>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</si>
  <si>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</si>
  <si>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</si>
  <si>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</si>
  <si>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</si>
  <si>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</si>
  <si>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</si>
  <si>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</si>
  <si>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</si>
  <si>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</si>
  <si>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</si>
  <si>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</si>
  <si>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</si>
  <si>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</si>
  <si>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</si>
  <si>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</si>
  <si>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</si>
  <si>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</si>
  <si>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</si>
  <si>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</si>
  <si>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</si>
  <si>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</si>
  <si>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</si>
  <si>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</si>
  <si>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</si>
  <si>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</si>
  <si>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</si>
  <si>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</si>
  <si>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</si>
  <si>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</si>
  <si>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</si>
  <si>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</si>
  <si>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</si>
  <si>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</si>
  <si>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</si>
  <si>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</si>
  <si>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</si>
  <si>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</si>
  <si>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</si>
  <si>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</si>
  <si>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</si>
  <si>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</si>
  <si>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</si>
  <si>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</si>
  <si>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</si>
  <si>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</si>
  <si>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</si>
  <si>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</si>
  <si>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</si>
  <si>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</si>
  <si>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</si>
  <si>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</si>
  <si>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</si>
  <si>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</si>
  <si>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</si>
  <si>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</si>
  <si>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</si>
  <si>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</si>
  <si>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</si>
  <si>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</si>
  <si>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</si>
  <si>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</si>
  <si>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</si>
  <si>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</si>
  <si>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</si>
  <si>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</si>
  <si>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</si>
  <si>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</si>
  <si>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</si>
  <si>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</si>
  <si>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</si>
  <si>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</si>
  <si>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</si>
  <si>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</si>
  <si>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</si>
  <si>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</si>
  <si>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</si>
  <si>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</si>
  <si>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</si>
  <si>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</si>
  <si>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</si>
  <si>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</si>
  <si>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</si>
  <si>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</si>
  <si>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</si>
  <si>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</si>
  <si>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</si>
  <si>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</si>
  <si>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</si>
  <si>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</si>
  <si>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</si>
  <si>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</si>
  <si>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</si>
  <si>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</si>
  <si>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</si>
  <si>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</si>
  <si>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</si>
  <si>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</si>
  <si>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</si>
  <si>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</si>
  <si>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</si>
  <si>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</si>
  <si>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</si>
  <si>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</si>
  <si>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</si>
  <si>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</si>
  <si>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</si>
  <si>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</si>
  <si>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</si>
  <si>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</si>
  <si>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</si>
  <si>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</si>
  <si>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</si>
  <si>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</si>
  <si>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</si>
  <si>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</si>
  <si>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</si>
  <si>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</si>
  <si>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</si>
  <si>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</si>
  <si>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</si>
  <si>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</si>
  <si>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</si>
  <si>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</si>
  <si>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</si>
  <si>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</si>
  <si>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</si>
  <si>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</si>
  <si>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</si>
  <si>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</si>
  <si>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</si>
  <si>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</si>
  <si>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</si>
  <si>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</si>
  <si>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</si>
  <si>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</si>
  <si>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</si>
  <si>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</si>
  <si>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</si>
  <si>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</si>
  <si>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</si>
  <si>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</si>
  <si>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</si>
  <si>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</si>
  <si>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</si>
  <si>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</si>
  <si>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</si>
  <si>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</si>
  <si>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</si>
  <si>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</si>
  <si>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</si>
  <si>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</si>
  <si>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</si>
  <si>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</si>
  <si>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</si>
  <si>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</si>
  <si>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</si>
  <si>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</si>
  <si>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</si>
  <si>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</si>
  <si>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</si>
  <si>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</si>
  <si>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</si>
  <si>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</si>
  <si>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</si>
  <si>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</si>
  <si>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</si>
  <si>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</si>
  <si>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</si>
  <si>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</si>
  <si>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</si>
  <si>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</si>
  <si>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</si>
  <si>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</si>
  <si>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</si>
  <si>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</si>
  <si>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</si>
  <si>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</si>
  <si>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</si>
  <si>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</si>
  <si>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</si>
  <si>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</si>
  <si>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</si>
  <si>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</si>
  <si>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</si>
  <si>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</si>
  <si>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</si>
  <si>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</si>
  <si>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</si>
  <si>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</si>
  <si>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</si>
  <si>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</si>
  <si>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</si>
  <si>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</si>
  <si>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</si>
  <si>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</si>
  <si>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</si>
  <si>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</si>
  <si>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</si>
  <si>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</si>
  <si>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</si>
  <si>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</si>
  <si>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</si>
  <si>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</si>
  <si>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</si>
  <si>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</si>
  <si>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</si>
  <si>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</si>
  <si>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</si>
  <si>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</si>
  <si>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</si>
  <si>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</si>
  <si>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</si>
  <si>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</si>
  <si>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</si>
  <si>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</si>
  <si>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</si>
  <si>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</si>
  <si>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</si>
  <si>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</si>
  <si>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</si>
  <si>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</si>
  <si>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</si>
  <si>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</si>
  <si>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</si>
  <si>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</si>
  <si>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</si>
  <si>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</si>
  <si>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</si>
  <si>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</si>
  <si>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</si>
  <si>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</si>
  <si>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</si>
  <si>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</si>
  <si>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</si>
  <si>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</si>
  <si>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</si>
  <si>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</si>
  <si>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</si>
  <si>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</si>
  <si>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</si>
  <si>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</si>
  <si>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</si>
  <si>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</si>
  <si>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</si>
  <si>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</si>
  <si>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</si>
  <si>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</si>
  <si>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</si>
  <si>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</si>
  <si>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</si>
  <si>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</si>
  <si>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</si>
  <si>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</si>
  <si>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</si>
  <si>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</si>
  <si>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</si>
  <si>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</si>
  <si>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</si>
  <si>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</si>
  <si>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</si>
  <si>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</si>
  <si>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</si>
  <si>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</si>
  <si>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</si>
  <si>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</si>
  <si>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</si>
  <si>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</si>
  <si>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</si>
  <si>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</si>
  <si>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</si>
  <si>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</si>
  <si>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</si>
  <si>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</si>
  <si>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</si>
  <si>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</si>
  <si>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</si>
  <si>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</si>
  <si>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</si>
  <si>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</si>
  <si>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</si>
  <si>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</si>
  <si>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</si>
  <si>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</si>
  <si>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</si>
  <si>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</si>
  <si>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</si>
  <si>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</si>
  <si>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</si>
  <si>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</si>
  <si>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</si>
  <si>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</si>
  <si>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</si>
  <si>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</si>
  <si>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</si>
  <si>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</si>
  <si>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</si>
  <si>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</si>
  <si>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</si>
  <si>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</si>
  <si>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</si>
  <si>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</si>
  <si>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</si>
  <si>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</si>
  <si>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</si>
  <si>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</si>
  <si>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</si>
  <si>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</si>
  <si>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</si>
  <si>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</si>
  <si>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</si>
  <si>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</si>
  <si>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</si>
  <si>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</si>
  <si>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</si>
  <si>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</si>
  <si>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</si>
  <si>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</si>
  <si>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</si>
  <si>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</si>
  <si>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</si>
  <si>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</si>
  <si>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</si>
  <si>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</si>
  <si>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</si>
  <si>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</si>
  <si>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</si>
  <si>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</si>
  <si>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</si>
  <si>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</si>
  <si>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</si>
  <si>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</si>
  <si>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</si>
  <si>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</si>
  <si>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</si>
  <si>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</si>
  <si>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</si>
  <si>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</si>
  <si>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</si>
  <si>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</si>
  <si>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</si>
  <si>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</si>
  <si>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</si>
  <si>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</si>
  <si>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</si>
  <si>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</si>
  <si>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</si>
  <si>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</si>
  <si>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</si>
  <si>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</si>
  <si>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</si>
  <si>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</si>
  <si>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</si>
  <si>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</si>
  <si>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</si>
  <si>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</si>
  <si>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</si>
  <si>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</si>
  <si>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</si>
  <si>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</si>
  <si>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</si>
  <si>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</si>
  <si>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</si>
  <si>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</si>
  <si>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</si>
  <si>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</si>
  <si>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</si>
  <si>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</si>
  <si>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</si>
  <si>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</si>
  <si>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</si>
  <si>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</si>
  <si>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</si>
  <si>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</si>
  <si>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</si>
  <si>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</si>
  <si>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</si>
  <si>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</si>
  <si>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</si>
  <si>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</si>
  <si>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</si>
  <si>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</si>
  <si>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</si>
  <si>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</si>
  <si>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</si>
  <si>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</si>
  <si>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</si>
  <si>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</si>
  <si>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</si>
  <si>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</si>
  <si>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</si>
  <si>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</si>
  <si>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</si>
  <si>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</si>
  <si>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</si>
  <si>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</si>
  <si>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</si>
  <si>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</si>
  <si>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</si>
  <si>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</si>
  <si>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</si>
  <si>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</si>
  <si>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</si>
  <si>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</si>
  <si>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</si>
  <si>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</si>
  <si>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</si>
  <si>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</si>
  <si>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</si>
  <si>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</si>
  <si>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</si>
  <si>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</si>
  <si>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</si>
  <si>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</si>
  <si>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</si>
  <si>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</si>
  <si>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</si>
  <si>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</si>
  <si>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</si>
  <si>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</si>
  <si>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</si>
  <si>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</si>
  <si>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</si>
  <si>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</si>
  <si>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</si>
  <si>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</si>
  <si>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</si>
  <si>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</si>
  <si>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</si>
  <si>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</si>
  <si>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</si>
  <si>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</si>
  <si>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</si>
  <si>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</si>
  <si>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</si>
  <si>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</si>
  <si>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</si>
  <si>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</si>
  <si>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</si>
  <si>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</si>
  <si>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</si>
  <si>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</si>
  <si>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</si>
  <si>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</si>
  <si>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</si>
  <si>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</si>
  <si>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</si>
  <si>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</si>
  <si>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</si>
  <si>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</si>
  <si>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</si>
  <si>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</si>
  <si>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</si>
  <si>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</si>
  <si>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</si>
  <si>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</si>
  <si>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</si>
  <si>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</si>
  <si>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</si>
  <si>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</si>
  <si>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</si>
  <si>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</si>
  <si>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</si>
  <si>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</si>
  <si>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</si>
  <si>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</si>
  <si>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</si>
  <si>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</si>
  <si>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</si>
  <si>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</si>
  <si>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</si>
  <si>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</si>
  <si>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</si>
  <si>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</si>
  <si>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</si>
  <si>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</si>
  <si>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</si>
  <si>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</si>
  <si>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</si>
  <si>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</si>
  <si>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</si>
  <si>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</si>
  <si>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</si>
  <si>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</si>
  <si>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</si>
  <si>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</si>
  <si>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</si>
  <si>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</si>
  <si>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</si>
  <si>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</si>
  <si>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</si>
  <si>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</si>
  <si>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</si>
  <si>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</si>
  <si>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</si>
  <si>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</si>
  <si>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</si>
  <si>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</si>
  <si>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</si>
  <si>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</si>
  <si>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</si>
  <si>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</si>
  <si>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</si>
  <si>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</si>
  <si>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</si>
  <si>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</si>
  <si>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</si>
  <si>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</si>
  <si>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</si>
  <si>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</si>
  <si>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</si>
  <si>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</si>
  <si>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</si>
  <si>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</si>
  <si>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</si>
  <si>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</si>
  <si>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</si>
  <si>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</si>
  <si>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</si>
  <si>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</si>
  <si>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</si>
  <si>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</si>
  <si>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</si>
  <si>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</si>
  <si>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</si>
  <si>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</si>
  <si>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</si>
  <si>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</si>
  <si>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</si>
  <si>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</si>
  <si>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</si>
  <si>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</si>
  <si>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</si>
  <si>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</si>
  <si>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</si>
  <si>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</si>
  <si>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</si>
  <si>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</si>
  <si>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</si>
  <si>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</si>
  <si>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</si>
  <si>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</si>
  <si>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</si>
  <si>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</si>
  <si>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</si>
  <si>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</si>
  <si>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</si>
  <si>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</si>
  <si>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</si>
  <si>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</si>
  <si>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</si>
  <si>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</si>
  <si>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</si>
  <si>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</si>
  <si>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</si>
  <si>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</si>
  <si>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</si>
  <si>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</si>
  <si>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</si>
  <si>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</si>
  <si>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</si>
  <si>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</si>
  <si>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</si>
  <si>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</si>
  <si>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</si>
  <si>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</si>
  <si>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</si>
  <si>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</si>
  <si>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</si>
  <si>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</si>
  <si>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</si>
  <si>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</si>
  <si>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</si>
  <si>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</si>
  <si>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</si>
  <si>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</si>
  <si>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</si>
  <si>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</si>
  <si>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</si>
  <si>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</si>
  <si>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</si>
  <si>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</si>
  <si>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</si>
  <si>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</si>
  <si>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</si>
  <si>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23016</t>
  </si>
  <si>
    <t>DILBEEK</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</si>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</sst>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13C6070B-58F5-41FF-8E99-61696E9EFAE8}"/>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419701.21806097025</c:v>
                </c:pt>
                <c:pt idx="1">
                  <c:v>135874.0940392004</c:v>
                </c:pt>
                <c:pt idx="2">
                  <c:v>2025.7840000000001</c:v>
                </c:pt>
                <c:pt idx="3">
                  <c:v>4998.9068145429228</c:v>
                </c:pt>
                <c:pt idx="4">
                  <c:v>141064.72364790164</c:v>
                </c:pt>
                <c:pt idx="5">
                  <c:v>632790.98474479932</c:v>
                </c:pt>
                <c:pt idx="6">
                  <c:v>7909.742388599554</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419701.21806097025</c:v>
                </c:pt>
                <c:pt idx="1">
                  <c:v>135874.0940392004</c:v>
                </c:pt>
                <c:pt idx="2">
                  <c:v>2025.7840000000001</c:v>
                </c:pt>
                <c:pt idx="3">
                  <c:v>4998.9068145429228</c:v>
                </c:pt>
                <c:pt idx="4">
                  <c:v>141064.72364790164</c:v>
                </c:pt>
                <c:pt idx="5">
                  <c:v>632790.98474479932</c:v>
                </c:pt>
                <c:pt idx="6">
                  <c:v>7909.742388599554</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87425.8656777875</c:v>
                </c:pt>
                <c:pt idx="2">
                  <c:v>27885.194267503299</c:v>
                </c:pt>
                <c:pt idx="3">
                  <c:v>434.15366505426965</c:v>
                </c:pt>
                <c:pt idx="4">
                  <c:v>1252.1317585983509</c:v>
                </c:pt>
                <c:pt idx="5">
                  <c:v>29895.445466765177</c:v>
                </c:pt>
                <c:pt idx="6">
                  <c:v>159851.7952656596</c:v>
                </c:pt>
                <c:pt idx="7">
                  <c:v>2019.6703456671839</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87425.8656777875</c:v>
                </c:pt>
                <c:pt idx="2">
                  <c:v>27885.194267503299</c:v>
                </c:pt>
                <c:pt idx="3">
                  <c:v>434.15366505426965</c:v>
                </c:pt>
                <c:pt idx="4">
                  <c:v>1252.1317585983509</c:v>
                </c:pt>
                <c:pt idx="5">
                  <c:v>29895.445466765177</c:v>
                </c:pt>
                <c:pt idx="6">
                  <c:v>159851.7952656596</c:v>
                </c:pt>
                <c:pt idx="7">
                  <c:v>2019.6703456671839</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23016</v>
      </c>
      <c r="B6" s="385"/>
      <c r="C6" s="386"/>
    </row>
    <row r="7" spans="1:7" s="383" customFormat="1" ht="15.75" customHeight="1">
      <c r="A7" s="387" t="str">
        <f>txtMunicipality</f>
        <v>DILBEEK</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0.21431389775724838</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0.21431389775724838</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16574</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1253</v>
      </c>
      <c r="C14" s="327"/>
      <c r="D14" s="327"/>
      <c r="E14" s="327"/>
      <c r="F14" s="327"/>
    </row>
    <row r="15" spans="1:6">
      <c r="A15" s="1258" t="s">
        <v>177</v>
      </c>
      <c r="B15" s="1259">
        <v>0</v>
      </c>
      <c r="C15" s="327"/>
      <c r="D15" s="327"/>
      <c r="E15" s="327"/>
      <c r="F15" s="327"/>
    </row>
    <row r="16" spans="1:6">
      <c r="A16" s="1258" t="s">
        <v>6</v>
      </c>
      <c r="B16" s="1259">
        <v>24</v>
      </c>
      <c r="C16" s="327"/>
      <c r="D16" s="327"/>
      <c r="E16" s="327"/>
      <c r="F16" s="327"/>
    </row>
    <row r="17" spans="1:6">
      <c r="A17" s="1258" t="s">
        <v>7</v>
      </c>
      <c r="B17" s="1259">
        <v>356</v>
      </c>
      <c r="C17" s="327"/>
      <c r="D17" s="327"/>
      <c r="E17" s="327"/>
      <c r="F17" s="327"/>
    </row>
    <row r="18" spans="1:6">
      <c r="A18" s="1258" t="s">
        <v>8</v>
      </c>
      <c r="B18" s="1259">
        <v>359</v>
      </c>
      <c r="C18" s="327"/>
      <c r="D18" s="327"/>
      <c r="E18" s="327"/>
      <c r="F18" s="327"/>
    </row>
    <row r="19" spans="1:6">
      <c r="A19" s="1258" t="s">
        <v>9</v>
      </c>
      <c r="B19" s="1259">
        <v>287</v>
      </c>
      <c r="C19" s="327"/>
      <c r="D19" s="327"/>
      <c r="E19" s="327"/>
      <c r="F19" s="327"/>
    </row>
    <row r="20" spans="1:6">
      <c r="A20" s="1258" t="s">
        <v>10</v>
      </c>
      <c r="B20" s="1259">
        <v>255</v>
      </c>
      <c r="C20" s="327"/>
      <c r="D20" s="327"/>
      <c r="E20" s="327"/>
      <c r="F20" s="327"/>
    </row>
    <row r="21" spans="1:6">
      <c r="A21" s="1258" t="s">
        <v>11</v>
      </c>
      <c r="B21" s="1259">
        <v>10</v>
      </c>
      <c r="C21" s="327"/>
      <c r="D21" s="327"/>
      <c r="E21" s="327"/>
      <c r="F21" s="327"/>
    </row>
    <row r="22" spans="1:6">
      <c r="A22" s="1258" t="s">
        <v>12</v>
      </c>
      <c r="B22" s="1259">
        <v>31</v>
      </c>
      <c r="C22" s="327"/>
      <c r="D22" s="327"/>
      <c r="E22" s="327"/>
      <c r="F22" s="327"/>
    </row>
    <row r="23" spans="1:6">
      <c r="A23" s="1258" t="s">
        <v>13</v>
      </c>
      <c r="B23" s="1259">
        <v>0</v>
      </c>
      <c r="C23" s="327"/>
      <c r="D23" s="327"/>
      <c r="E23" s="327"/>
      <c r="F23" s="327"/>
    </row>
    <row r="24" spans="1:6">
      <c r="A24" s="1258" t="s">
        <v>14</v>
      </c>
      <c r="B24" s="1259">
        <v>1</v>
      </c>
      <c r="C24" s="327"/>
      <c r="D24" s="327"/>
      <c r="E24" s="327"/>
      <c r="F24" s="327"/>
    </row>
    <row r="25" spans="1:6">
      <c r="A25" s="1258" t="s">
        <v>15</v>
      </c>
      <c r="B25" s="1259">
        <v>7</v>
      </c>
      <c r="C25" s="327"/>
      <c r="D25" s="327"/>
      <c r="E25" s="327"/>
      <c r="F25" s="327"/>
    </row>
    <row r="26" spans="1:6">
      <c r="A26" s="1258" t="s">
        <v>16</v>
      </c>
      <c r="B26" s="1259">
        <v>38</v>
      </c>
      <c r="C26" s="327"/>
      <c r="D26" s="327"/>
      <c r="E26" s="327"/>
      <c r="F26" s="327"/>
    </row>
    <row r="27" spans="1:6">
      <c r="A27" s="1258" t="s">
        <v>17</v>
      </c>
      <c r="B27" s="1259">
        <v>8</v>
      </c>
      <c r="C27" s="327"/>
      <c r="D27" s="327"/>
      <c r="E27" s="327"/>
      <c r="F27" s="327"/>
    </row>
    <row r="28" spans="1:6">
      <c r="A28" s="1258" t="s">
        <v>18</v>
      </c>
      <c r="B28" s="1260">
        <v>475</v>
      </c>
      <c r="C28" s="327"/>
      <c r="D28" s="327"/>
      <c r="E28" s="327"/>
      <c r="F28" s="327"/>
    </row>
    <row r="29" spans="1:6">
      <c r="A29" s="1258" t="s">
        <v>905</v>
      </c>
      <c r="B29" s="1260">
        <v>276</v>
      </c>
      <c r="C29" s="327"/>
      <c r="D29" s="327"/>
      <c r="E29" s="327"/>
      <c r="F29" s="327"/>
    </row>
    <row r="30" spans="1:6">
      <c r="A30" s="1253" t="s">
        <v>906</v>
      </c>
      <c r="B30" s="1261">
        <v>50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3</v>
      </c>
      <c r="F35" s="1259">
        <v>16998</v>
      </c>
    </row>
    <row r="36" spans="1:6">
      <c r="A36" s="1258" t="s">
        <v>24</v>
      </c>
      <c r="B36" s="1258" t="s">
        <v>26</v>
      </c>
      <c r="C36" s="1259">
        <v>4</v>
      </c>
      <c r="D36" s="1259">
        <v>74533.095643398497</v>
      </c>
      <c r="E36" s="1259">
        <v>0</v>
      </c>
      <c r="F36" s="1259">
        <v>0</v>
      </c>
    </row>
    <row r="37" spans="1:6">
      <c r="A37" s="1258" t="s">
        <v>24</v>
      </c>
      <c r="B37" s="1258" t="s">
        <v>27</v>
      </c>
      <c r="C37" s="1259">
        <v>0</v>
      </c>
      <c r="D37" s="1259">
        <v>0</v>
      </c>
      <c r="E37" s="1259">
        <v>0</v>
      </c>
      <c r="F37" s="1259">
        <v>0</v>
      </c>
    </row>
    <row r="38" spans="1:6">
      <c r="A38" s="1258" t="s">
        <v>24</v>
      </c>
      <c r="B38" s="1258" t="s">
        <v>28</v>
      </c>
      <c r="C38" s="1259">
        <v>3</v>
      </c>
      <c r="D38" s="1259">
        <v>462469.99515084102</v>
      </c>
      <c r="E38" s="1259">
        <v>10</v>
      </c>
      <c r="F38" s="1259">
        <v>313040.24326085998</v>
      </c>
    </row>
    <row r="39" spans="1:6">
      <c r="A39" s="1258" t="s">
        <v>29</v>
      </c>
      <c r="B39" s="1258" t="s">
        <v>30</v>
      </c>
      <c r="C39" s="1259">
        <v>11207</v>
      </c>
      <c r="D39" s="1259">
        <v>235577560.477768</v>
      </c>
      <c r="E39" s="1259">
        <v>16477</v>
      </c>
      <c r="F39" s="1259">
        <v>67803356.008841604</v>
      </c>
    </row>
    <row r="40" spans="1:6">
      <c r="A40" s="1258" t="s">
        <v>29</v>
      </c>
      <c r="B40" s="1258" t="s">
        <v>28</v>
      </c>
      <c r="C40" s="1259">
        <v>0</v>
      </c>
      <c r="D40" s="1259">
        <v>0</v>
      </c>
      <c r="E40" s="1259">
        <v>0</v>
      </c>
      <c r="F40" s="1259">
        <v>0</v>
      </c>
    </row>
    <row r="41" spans="1:6">
      <c r="A41" s="1258" t="s">
        <v>31</v>
      </c>
      <c r="B41" s="1258" t="s">
        <v>32</v>
      </c>
      <c r="C41" s="1259">
        <v>57</v>
      </c>
      <c r="D41" s="1259">
        <v>2052227.0808306299</v>
      </c>
      <c r="E41" s="1259">
        <v>171</v>
      </c>
      <c r="F41" s="1259">
        <v>1515033.1435601199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14</v>
      </c>
      <c r="F44" s="1259">
        <v>174491.91707089299</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3</v>
      </c>
      <c r="D47" s="1259">
        <v>40949.795864592001</v>
      </c>
      <c r="E47" s="1259">
        <v>6</v>
      </c>
      <c r="F47" s="1259">
        <v>42389.499739619903</v>
      </c>
    </row>
    <row r="48" spans="1:6">
      <c r="A48" s="1258" t="s">
        <v>31</v>
      </c>
      <c r="B48" s="1258" t="s">
        <v>28</v>
      </c>
      <c r="C48" s="1259">
        <v>66</v>
      </c>
      <c r="D48" s="1259">
        <v>62695170.843299396</v>
      </c>
      <c r="E48" s="1259">
        <v>102</v>
      </c>
      <c r="F48" s="1259">
        <v>22844701.799371101</v>
      </c>
    </row>
    <row r="49" spans="1:6">
      <c r="A49" s="1258" t="s">
        <v>31</v>
      </c>
      <c r="B49" s="1258" t="s">
        <v>39</v>
      </c>
      <c r="C49" s="1259">
        <v>0</v>
      </c>
      <c r="D49" s="1259">
        <v>0</v>
      </c>
      <c r="E49" s="1259">
        <v>0</v>
      </c>
      <c r="F49" s="1259">
        <v>0</v>
      </c>
    </row>
    <row r="50" spans="1:6">
      <c r="A50" s="1258" t="s">
        <v>31</v>
      </c>
      <c r="B50" s="1258" t="s">
        <v>40</v>
      </c>
      <c r="C50" s="1259">
        <v>7</v>
      </c>
      <c r="D50" s="1259">
        <v>641676.08660702896</v>
      </c>
      <c r="E50" s="1259">
        <v>22</v>
      </c>
      <c r="F50" s="1259">
        <v>16778145.548987199</v>
      </c>
    </row>
    <row r="51" spans="1:6">
      <c r="A51" s="1258" t="s">
        <v>41</v>
      </c>
      <c r="B51" s="1258" t="s">
        <v>42</v>
      </c>
      <c r="C51" s="1259">
        <v>3</v>
      </c>
      <c r="D51" s="1259">
        <v>76972.088709957607</v>
      </c>
      <c r="E51" s="1259">
        <v>61</v>
      </c>
      <c r="F51" s="1259">
        <v>481902.34535909299</v>
      </c>
    </row>
    <row r="52" spans="1:6">
      <c r="A52" s="1258" t="s">
        <v>41</v>
      </c>
      <c r="B52" s="1258" t="s">
        <v>28</v>
      </c>
      <c r="C52" s="1259">
        <v>13</v>
      </c>
      <c r="D52" s="1259">
        <v>639209.97630565101</v>
      </c>
      <c r="E52" s="1259">
        <v>14</v>
      </c>
      <c r="F52" s="1259">
        <v>450301.44479780499</v>
      </c>
    </row>
    <row r="53" spans="1:6">
      <c r="A53" s="1258" t="s">
        <v>43</v>
      </c>
      <c r="B53" s="1258" t="s">
        <v>44</v>
      </c>
      <c r="C53" s="1259">
        <v>294</v>
      </c>
      <c r="D53" s="1259">
        <v>7515254.0147776101</v>
      </c>
      <c r="E53" s="1259">
        <v>586</v>
      </c>
      <c r="F53" s="1259">
        <v>3176596.4767594901</v>
      </c>
    </row>
    <row r="54" spans="1:6">
      <c r="A54" s="1258" t="s">
        <v>45</v>
      </c>
      <c r="B54" s="1258" t="s">
        <v>46</v>
      </c>
      <c r="C54" s="1259">
        <v>0</v>
      </c>
      <c r="D54" s="1259">
        <v>0</v>
      </c>
      <c r="E54" s="1259">
        <v>1</v>
      </c>
      <c r="F54" s="1259">
        <v>2025784</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55</v>
      </c>
      <c r="D57" s="1259">
        <v>1743518.0806733</v>
      </c>
      <c r="E57" s="1259">
        <v>136</v>
      </c>
      <c r="F57" s="1259">
        <v>3355062.1920072702</v>
      </c>
    </row>
    <row r="58" spans="1:6">
      <c r="A58" s="1258" t="s">
        <v>48</v>
      </c>
      <c r="B58" s="1258" t="s">
        <v>50</v>
      </c>
      <c r="C58" s="1259">
        <v>43</v>
      </c>
      <c r="D58" s="1259">
        <v>2161036.6491681398</v>
      </c>
      <c r="E58" s="1259">
        <v>74</v>
      </c>
      <c r="F58" s="1259">
        <v>2417917.6945936498</v>
      </c>
    </row>
    <row r="59" spans="1:6">
      <c r="A59" s="1258" t="s">
        <v>48</v>
      </c>
      <c r="B59" s="1258" t="s">
        <v>51</v>
      </c>
      <c r="C59" s="1259">
        <v>160</v>
      </c>
      <c r="D59" s="1259">
        <v>10282346.9253143</v>
      </c>
      <c r="E59" s="1259">
        <v>393</v>
      </c>
      <c r="F59" s="1259">
        <v>12557930.7062505</v>
      </c>
    </row>
    <row r="60" spans="1:6">
      <c r="A60" s="1258" t="s">
        <v>48</v>
      </c>
      <c r="B60" s="1258" t="s">
        <v>52</v>
      </c>
      <c r="C60" s="1259">
        <v>115</v>
      </c>
      <c r="D60" s="1259">
        <v>12485813.511734501</v>
      </c>
      <c r="E60" s="1259">
        <v>153</v>
      </c>
      <c r="F60" s="1259">
        <v>6434574.4426996997</v>
      </c>
    </row>
    <row r="61" spans="1:6">
      <c r="A61" s="1258" t="s">
        <v>48</v>
      </c>
      <c r="B61" s="1258" t="s">
        <v>53</v>
      </c>
      <c r="C61" s="1259">
        <v>338</v>
      </c>
      <c r="D61" s="1259">
        <v>29586542.7355722</v>
      </c>
      <c r="E61" s="1259">
        <v>704</v>
      </c>
      <c r="F61" s="1259">
        <v>13073399.093754901</v>
      </c>
    </row>
    <row r="62" spans="1:6">
      <c r="A62" s="1258" t="s">
        <v>48</v>
      </c>
      <c r="B62" s="1258" t="s">
        <v>54</v>
      </c>
      <c r="C62" s="1259">
        <v>10</v>
      </c>
      <c r="D62" s="1259">
        <v>574794.33122280904</v>
      </c>
      <c r="E62" s="1259">
        <v>12</v>
      </c>
      <c r="F62" s="1259">
        <v>75660.079419851201</v>
      </c>
    </row>
    <row r="63" spans="1:6">
      <c r="A63" s="1258" t="s">
        <v>48</v>
      </c>
      <c r="B63" s="1258" t="s">
        <v>28</v>
      </c>
      <c r="C63" s="1259">
        <v>284</v>
      </c>
      <c r="D63" s="1259">
        <v>29425023.091019101</v>
      </c>
      <c r="E63" s="1259">
        <v>336</v>
      </c>
      <c r="F63" s="1259">
        <v>10307992.9837851</v>
      </c>
    </row>
    <row r="64" spans="1:6">
      <c r="A64" s="1258" t="s">
        <v>55</v>
      </c>
      <c r="B64" s="1258" t="s">
        <v>56</v>
      </c>
      <c r="C64" s="1259">
        <v>0</v>
      </c>
      <c r="D64" s="1259">
        <v>0</v>
      </c>
      <c r="E64" s="1259">
        <v>0</v>
      </c>
      <c r="F64" s="1259">
        <v>0</v>
      </c>
    </row>
    <row r="65" spans="1:6">
      <c r="A65" s="1258" t="s">
        <v>55</v>
      </c>
      <c r="B65" s="1258" t="s">
        <v>28</v>
      </c>
      <c r="C65" s="1259">
        <v>5</v>
      </c>
      <c r="D65" s="1259">
        <v>286364.31680398801</v>
      </c>
      <c r="E65" s="1259">
        <v>5</v>
      </c>
      <c r="F65" s="1259">
        <v>29235.387249068699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6</v>
      </c>
      <c r="D68" s="1261">
        <v>145416.627697708</v>
      </c>
      <c r="E68" s="1261">
        <v>19</v>
      </c>
      <c r="F68" s="1261">
        <v>412797.33840922802</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126494282</v>
      </c>
      <c r="E73" s="446"/>
      <c r="F73" s="327"/>
    </row>
    <row r="74" spans="1:6">
      <c r="A74" s="1258" t="s">
        <v>63</v>
      </c>
      <c r="B74" s="1258" t="s">
        <v>681</v>
      </c>
      <c r="C74" s="1271" t="s">
        <v>682</v>
      </c>
      <c r="D74" s="1259">
        <v>3393488.6045887014</v>
      </c>
      <c r="E74" s="446"/>
      <c r="F74" s="327"/>
    </row>
    <row r="75" spans="1:6">
      <c r="A75" s="1258" t="s">
        <v>64</v>
      </c>
      <c r="B75" s="1258" t="s">
        <v>679</v>
      </c>
      <c r="C75" s="1271" t="s">
        <v>683</v>
      </c>
      <c r="D75" s="1259">
        <v>125470199</v>
      </c>
      <c r="E75" s="446"/>
      <c r="F75" s="327"/>
    </row>
    <row r="76" spans="1:6">
      <c r="A76" s="1258" t="s">
        <v>64</v>
      </c>
      <c r="B76" s="1258" t="s">
        <v>681</v>
      </c>
      <c r="C76" s="1271" t="s">
        <v>684</v>
      </c>
      <c r="D76" s="1259">
        <v>1898091.6045887016</v>
      </c>
      <c r="E76" s="446"/>
      <c r="F76" s="327"/>
    </row>
    <row r="77" spans="1:6">
      <c r="A77" s="1258" t="s">
        <v>65</v>
      </c>
      <c r="B77" s="1258" t="s">
        <v>679</v>
      </c>
      <c r="C77" s="1271" t="s">
        <v>685</v>
      </c>
      <c r="D77" s="1259">
        <v>458753342</v>
      </c>
      <c r="E77" s="446"/>
      <c r="F77" s="327"/>
    </row>
    <row r="78" spans="1:6">
      <c r="A78" s="1253" t="s">
        <v>65</v>
      </c>
      <c r="B78" s="1253" t="s">
        <v>681</v>
      </c>
      <c r="C78" s="1253" t="s">
        <v>686</v>
      </c>
      <c r="D78" s="1261">
        <v>43421880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2093474.7908225968</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3791.7434180975342</v>
      </c>
      <c r="C91" s="327"/>
      <c r="D91" s="327"/>
      <c r="E91" s="327"/>
      <c r="F91" s="327"/>
    </row>
    <row r="92" spans="1:6">
      <c r="A92" s="1253" t="s">
        <v>68</v>
      </c>
      <c r="B92" s="1254">
        <v>1272.7787351400445</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7949</v>
      </c>
      <c r="C97" s="327"/>
      <c r="D97" s="327"/>
      <c r="E97" s="327"/>
      <c r="F97" s="327"/>
    </row>
    <row r="98" spans="1:6">
      <c r="A98" s="1258" t="s">
        <v>71</v>
      </c>
      <c r="B98" s="1259">
        <v>7</v>
      </c>
      <c r="C98" s="327"/>
      <c r="D98" s="327"/>
      <c r="E98" s="327"/>
      <c r="F98" s="327"/>
    </row>
    <row r="99" spans="1:6">
      <c r="A99" s="1258" t="s">
        <v>72</v>
      </c>
      <c r="B99" s="1259">
        <v>122</v>
      </c>
      <c r="C99" s="327"/>
      <c r="D99" s="327"/>
      <c r="E99" s="327"/>
      <c r="F99" s="327"/>
    </row>
    <row r="100" spans="1:6">
      <c r="A100" s="1258" t="s">
        <v>73</v>
      </c>
      <c r="B100" s="1259">
        <v>1160</v>
      </c>
      <c r="C100" s="327"/>
      <c r="D100" s="327"/>
      <c r="E100" s="327"/>
      <c r="F100" s="327"/>
    </row>
    <row r="101" spans="1:6">
      <c r="A101" s="1258" t="s">
        <v>74</v>
      </c>
      <c r="B101" s="1259">
        <v>75</v>
      </c>
      <c r="C101" s="327"/>
      <c r="D101" s="327"/>
      <c r="E101" s="327"/>
      <c r="F101" s="327"/>
    </row>
    <row r="102" spans="1:6">
      <c r="A102" s="1258" t="s">
        <v>75</v>
      </c>
      <c r="B102" s="1259">
        <v>251</v>
      </c>
      <c r="C102" s="327"/>
      <c r="D102" s="327"/>
      <c r="E102" s="327"/>
      <c r="F102" s="327"/>
    </row>
    <row r="103" spans="1:6">
      <c r="A103" s="1258" t="s">
        <v>76</v>
      </c>
      <c r="B103" s="1259">
        <v>198</v>
      </c>
      <c r="C103" s="327"/>
      <c r="D103" s="327"/>
      <c r="E103" s="327"/>
      <c r="F103" s="327"/>
    </row>
    <row r="104" spans="1:6">
      <c r="A104" s="1258" t="s">
        <v>77</v>
      </c>
      <c r="B104" s="1259">
        <v>5082</v>
      </c>
      <c r="C104" s="327"/>
      <c r="D104" s="327"/>
      <c r="E104" s="327"/>
      <c r="F104" s="327"/>
    </row>
    <row r="105" spans="1:6">
      <c r="A105" s="1253" t="s">
        <v>78</v>
      </c>
      <c r="B105" s="1261">
        <v>6</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18</v>
      </c>
      <c r="C123" s="1259">
        <v>33</v>
      </c>
      <c r="D123" s="327"/>
      <c r="E123" s="327"/>
      <c r="F123" s="327"/>
    </row>
    <row r="124" spans="1:6">
      <c r="A124" s="1258" t="s">
        <v>88</v>
      </c>
      <c r="B124" s="1259">
        <v>0</v>
      </c>
      <c r="C124" s="1259">
        <v>1</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146</v>
      </c>
      <c r="C129" s="327"/>
      <c r="D129" s="327"/>
      <c r="E129" s="327"/>
      <c r="F129" s="327"/>
    </row>
    <row r="130" spans="1:6">
      <c r="A130" s="1258" t="s">
        <v>284</v>
      </c>
      <c r="B130" s="1259">
        <v>1</v>
      </c>
      <c r="C130" s="327"/>
      <c r="D130" s="327"/>
      <c r="E130" s="327"/>
      <c r="F130" s="327"/>
    </row>
    <row r="131" spans="1:6">
      <c r="A131" s="1258" t="s">
        <v>285</v>
      </c>
      <c r="B131" s="1259">
        <v>3</v>
      </c>
      <c r="C131" s="327"/>
      <c r="D131" s="327"/>
      <c r="E131" s="327"/>
      <c r="F131" s="327"/>
    </row>
    <row r="132" spans="1:6">
      <c r="A132" s="1253" t="s">
        <v>286</v>
      </c>
      <c r="B132" s="1254">
        <v>15</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167400.87950029271</v>
      </c>
      <c r="C3" s="43" t="s">
        <v>163</v>
      </c>
      <c r="D3" s="43"/>
      <c r="E3" s="156"/>
      <c r="F3" s="43"/>
      <c r="G3" s="43"/>
      <c r="H3" s="43"/>
      <c r="I3" s="43"/>
      <c r="J3" s="43"/>
      <c r="K3" s="96"/>
    </row>
    <row r="4" spans="1:11">
      <c r="A4" s="353" t="s">
        <v>164</v>
      </c>
      <c r="B4" s="49">
        <f>IF(ISERROR('SEAP template'!B78+'SEAP template'!C78),0,'SEAP template'!B78+'SEAP template'!C78)</f>
        <v>5064.522153237579</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0.21431389775724838</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2025.7840000000001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2025.7840000000001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0.21431389775724838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434.15366505426965</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67803.356008841598</v>
      </c>
      <c r="C5" s="17">
        <f>IF(ISERROR('Eigen informatie GS &amp; warmtenet'!B57),0,'Eigen informatie GS &amp; warmtenet'!B57)</f>
        <v>0</v>
      </c>
      <c r="D5" s="30">
        <f>(SUM(HH_hh_gas_kWh,HH_rest_gas_kWh)/1000)*0.902</f>
        <v>212490.95955094675</v>
      </c>
      <c r="E5" s="17">
        <f>B32*B41</f>
        <v>3384.744894836987</v>
      </c>
      <c r="F5" s="17">
        <f>B36*B45</f>
        <v>103727.10746274229</v>
      </c>
      <c r="G5" s="18"/>
      <c r="H5" s="17"/>
      <c r="I5" s="17"/>
      <c r="J5" s="17">
        <f>B35*B44+C35*C44</f>
        <v>1964.3848765847122</v>
      </c>
      <c r="K5" s="17"/>
      <c r="L5" s="17"/>
      <c r="M5" s="17"/>
      <c r="N5" s="17">
        <f>B34*B43+C34*C43</f>
        <v>25628.321848920379</v>
      </c>
      <c r="O5" s="17">
        <f>B52*B53*B54</f>
        <v>281.40000000000003</v>
      </c>
      <c r="P5" s="17">
        <f>B60*B61*B62/1000-B60*B61*B62/1000/B63</f>
        <v>629.20000000000005</v>
      </c>
    </row>
    <row r="6" spans="1:16">
      <c r="A6" s="16" t="s">
        <v>592</v>
      </c>
      <c r="B6" s="733">
        <f>kWh_PV_kleiner_dan_10kW</f>
        <v>3791.7434180975342</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71595.099426939138</v>
      </c>
      <c r="C8" s="21">
        <f>C5</f>
        <v>0</v>
      </c>
      <c r="D8" s="21">
        <f>D5</f>
        <v>212490.95955094675</v>
      </c>
      <c r="E8" s="21">
        <f>E5</f>
        <v>3384.744894836987</v>
      </c>
      <c r="F8" s="21">
        <f>F5</f>
        <v>103727.10746274229</v>
      </c>
      <c r="G8" s="21"/>
      <c r="H8" s="21"/>
      <c r="I8" s="21"/>
      <c r="J8" s="21">
        <f>J5</f>
        <v>1964.3848765847122</v>
      </c>
      <c r="K8" s="21"/>
      <c r="L8" s="21">
        <f>L5</f>
        <v>0</v>
      </c>
      <c r="M8" s="21">
        <f>M5</f>
        <v>0</v>
      </c>
      <c r="N8" s="21">
        <f>N5</f>
        <v>25628.321848920379</v>
      </c>
      <c r="O8" s="21">
        <f>O5</f>
        <v>281.40000000000003</v>
      </c>
      <c r="P8" s="21">
        <f>P5</f>
        <v>629.20000000000005</v>
      </c>
    </row>
    <row r="9" spans="1:16">
      <c r="B9" s="19"/>
      <c r="C9" s="19"/>
      <c r="D9" s="257"/>
      <c r="E9" s="19"/>
      <c r="F9" s="19"/>
      <c r="G9" s="19"/>
      <c r="H9" s="19"/>
      <c r="I9" s="19"/>
      <c r="J9" s="19"/>
      <c r="K9" s="19"/>
      <c r="L9" s="19"/>
      <c r="M9" s="19"/>
      <c r="N9" s="19"/>
      <c r="O9" s="19"/>
      <c r="P9" s="19"/>
    </row>
    <row r="10" spans="1:16">
      <c r="A10" s="24" t="s">
        <v>207</v>
      </c>
      <c r="B10" s="25">
        <f ca="1">'EF ele_warmte'!B12</f>
        <v>0.21431389775724838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15343.824818505067</v>
      </c>
      <c r="C12" s="23">
        <f ca="1">C10*C8</f>
        <v>0</v>
      </c>
      <c r="D12" s="23">
        <f>D8*D10</f>
        <v>42923.173829291249</v>
      </c>
      <c r="E12" s="23">
        <f>E10*E8</f>
        <v>768.33709112799602</v>
      </c>
      <c r="F12" s="23">
        <f>F10*F8</f>
        <v>27695.137692552194</v>
      </c>
      <c r="G12" s="23"/>
      <c r="H12" s="23"/>
      <c r="I12" s="23"/>
      <c r="J12" s="23">
        <f>J10*J8</f>
        <v>695.39224631098807</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16574</v>
      </c>
      <c r="C26" s="36"/>
      <c r="D26" s="227"/>
    </row>
    <row r="27" spans="1:5" s="15" customFormat="1">
      <c r="A27" s="229" t="s">
        <v>697</v>
      </c>
      <c r="B27" s="37">
        <f>SUM(HH_hh_gas_aantal,HH_rest_gas_aantal)</f>
        <v>11207</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10646.65</v>
      </c>
      <c r="C31" s="34" t="s">
        <v>104</v>
      </c>
      <c r="D31" s="173"/>
    </row>
    <row r="32" spans="1:5">
      <c r="A32" s="170" t="s">
        <v>72</v>
      </c>
      <c r="B32" s="33">
        <f>IF((B21*($B$26-($B$27-0.05*$B$27)-$B$60))&lt;0,0,B21*($B$26-($B$27-0.05*$B$27)-$B$60))</f>
        <v>147.60373130836152</v>
      </c>
      <c r="C32" s="34" t="s">
        <v>104</v>
      </c>
      <c r="D32" s="173"/>
    </row>
    <row r="33" spans="1:6">
      <c r="A33" s="170" t="s">
        <v>73</v>
      </c>
      <c r="B33" s="33">
        <f>IF((B22*($B$26-($B$27-0.05*$B$27)-$B$60))&lt;0,0,B22*($B$26-($B$27-0.05*$B$27)-$B$60))</f>
        <v>993.54622719261022</v>
      </c>
      <c r="C33" s="34" t="s">
        <v>104</v>
      </c>
      <c r="D33" s="173"/>
    </row>
    <row r="34" spans="1:6">
      <c r="A34" s="170" t="s">
        <v>74</v>
      </c>
      <c r="B34" s="33">
        <f>IF((B24*($B$26-($B$27-0.05*$B$27)-$B$60))&lt;0,0,B24*($B$26-($B$27-0.05*$B$27)-$B$60))</f>
        <v>252.07614487881833</v>
      </c>
      <c r="C34" s="33">
        <f>B26*C24</f>
        <v>3390.378560879381</v>
      </c>
      <c r="D34" s="232"/>
    </row>
    <row r="35" spans="1:6">
      <c r="A35" s="170" t="s">
        <v>76</v>
      </c>
      <c r="B35" s="33">
        <f>IF((B19*($B$26-($B$27-0.05*$B$27)-$B$60))&lt;0,0,B19*($B$26-($B$27-0.05*$B$27)-$B$60))</f>
        <v>93.679775559802707</v>
      </c>
      <c r="C35" s="33">
        <f>B35/2</f>
        <v>46.839887779901353</v>
      </c>
      <c r="D35" s="232"/>
    </row>
    <row r="36" spans="1:6">
      <c r="A36" s="170" t="s">
        <v>77</v>
      </c>
      <c r="B36" s="33">
        <f>IF((B18*($B$26-($B$27-0.05*$B$27)-$B$60))&lt;0,0,B18*($B$26-($B$27-0.05*$B$27)-$B$60))</f>
        <v>4407.4441210604082</v>
      </c>
      <c r="C36" s="34" t="s">
        <v>104</v>
      </c>
      <c r="D36" s="173"/>
    </row>
    <row r="37" spans="1:6">
      <c r="A37" s="170" t="s">
        <v>78</v>
      </c>
      <c r="B37" s="33">
        <f>B60</f>
        <v>33</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180</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33</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48222.537192510979</v>
      </c>
      <c r="C5" s="17">
        <f>IF(ISERROR('Eigen informatie GS &amp; warmtenet'!B58),0,'Eigen informatie GS &amp; warmtenet'!B58)</f>
        <v>0</v>
      </c>
      <c r="D5" s="30">
        <f>SUM(D6:D12)</f>
        <v>77805.685942883327</v>
      </c>
      <c r="E5" s="17">
        <f>SUM(E6:E12)</f>
        <v>315.27447138793775</v>
      </c>
      <c r="F5" s="17">
        <f>SUM(F6:F12)</f>
        <v>6425.0975960246196</v>
      </c>
      <c r="G5" s="18"/>
      <c r="H5" s="17"/>
      <c r="I5" s="17"/>
      <c r="J5" s="17">
        <f>SUM(J6:J12)</f>
        <v>131.68767917041956</v>
      </c>
      <c r="K5" s="17"/>
      <c r="L5" s="17"/>
      <c r="M5" s="17"/>
      <c r="N5" s="17">
        <f>SUM(N6:N12)</f>
        <v>2915.0478238897645</v>
      </c>
      <c r="O5" s="17">
        <f>B38*B39*B40</f>
        <v>1.5633333333333335</v>
      </c>
      <c r="P5" s="17">
        <f>B46*B47*B48/1000-B46*B47*B48/1000/B49</f>
        <v>57.2</v>
      </c>
      <c r="R5" s="32"/>
    </row>
    <row r="6" spans="1:18">
      <c r="A6" s="32" t="s">
        <v>53</v>
      </c>
      <c r="B6" s="37">
        <f>B26</f>
        <v>13073.399093754901</v>
      </c>
      <c r="C6" s="33"/>
      <c r="D6" s="37">
        <f>IF(ISERROR(TER_kantoor_gas_kWh/1000),0,TER_kantoor_gas_kWh/1000)*0.902</f>
        <v>26687.061547486122</v>
      </c>
      <c r="E6" s="33">
        <f>$C$26*'E Balans VL '!I12/100/3.6*1000000</f>
        <v>110.35089085058748</v>
      </c>
      <c r="F6" s="33">
        <f>$C$26*('E Balans VL '!L12+'E Balans VL '!N12)/100/3.6*1000000</f>
        <v>1752.9980686775853</v>
      </c>
      <c r="G6" s="34"/>
      <c r="H6" s="33"/>
      <c r="I6" s="33"/>
      <c r="J6" s="33">
        <f>$C$26*('E Balans VL '!D12+'E Balans VL '!E12)/100/3.6*1000000</f>
        <v>0</v>
      </c>
      <c r="K6" s="33"/>
      <c r="L6" s="33"/>
      <c r="M6" s="33"/>
      <c r="N6" s="33">
        <f>$C$26*'E Balans VL '!Y12/100/3.6*1000000</f>
        <v>114.97650168421809</v>
      </c>
      <c r="O6" s="33"/>
      <c r="P6" s="33"/>
      <c r="R6" s="32"/>
    </row>
    <row r="7" spans="1:18">
      <c r="A7" s="32" t="s">
        <v>52</v>
      </c>
      <c r="B7" s="37">
        <f t="shared" ref="B7:B12" si="0">B27</f>
        <v>6434.5744426996998</v>
      </c>
      <c r="C7" s="33"/>
      <c r="D7" s="37">
        <f>IF(ISERROR(TER_horeca_gas_kWh/1000),0,TER_horeca_gas_kWh/1000)*0.902</f>
        <v>11262.20378758452</v>
      </c>
      <c r="E7" s="33">
        <f>$C$27*'E Balans VL '!I9/100/3.6*1000000</f>
        <v>84.601807769446083</v>
      </c>
      <c r="F7" s="33">
        <f>$C$27*('E Balans VL '!L9+'E Balans VL '!N9)/100/3.6*1000000</f>
        <v>1615.9619592629479</v>
      </c>
      <c r="G7" s="34"/>
      <c r="H7" s="33"/>
      <c r="I7" s="33"/>
      <c r="J7" s="33">
        <f>$C$27*('E Balans VL '!D9+'E Balans VL '!E9)/100/3.6*1000000</f>
        <v>0</v>
      </c>
      <c r="K7" s="33"/>
      <c r="L7" s="33"/>
      <c r="M7" s="33"/>
      <c r="N7" s="33">
        <f>$C$27*'E Balans VL '!Y9/100/3.6*1000000</f>
        <v>1.7517339084178023</v>
      </c>
      <c r="O7" s="33"/>
      <c r="P7" s="33"/>
      <c r="R7" s="32"/>
    </row>
    <row r="8" spans="1:18">
      <c r="A8" s="6" t="s">
        <v>51</v>
      </c>
      <c r="B8" s="37">
        <f t="shared" si="0"/>
        <v>12557.930706250499</v>
      </c>
      <c r="C8" s="33"/>
      <c r="D8" s="37">
        <f>IF(ISERROR(TER_handel_gas_kWh/1000),0,TER_handel_gas_kWh/1000)*0.902</f>
        <v>9274.6769266334977</v>
      </c>
      <c r="E8" s="33">
        <f>$C$28*'E Balans VL '!I13/100/3.6*1000000</f>
        <v>54.995798236640283</v>
      </c>
      <c r="F8" s="33">
        <f>$C$28*('E Balans VL '!L13+'E Balans VL '!N13)/100/3.6*1000000</f>
        <v>844.07656225797302</v>
      </c>
      <c r="G8" s="34"/>
      <c r="H8" s="33"/>
      <c r="I8" s="33"/>
      <c r="J8" s="33">
        <f>$C$28*('E Balans VL '!D13+'E Balans VL '!E13)/100/3.6*1000000</f>
        <v>0</v>
      </c>
      <c r="K8" s="33"/>
      <c r="L8" s="33"/>
      <c r="M8" s="33"/>
      <c r="N8" s="33">
        <f>$C$28*'E Balans VL '!Y13/100/3.6*1000000</f>
        <v>37.099333074094083</v>
      </c>
      <c r="O8" s="33"/>
      <c r="P8" s="33"/>
      <c r="R8" s="32"/>
    </row>
    <row r="9" spans="1:18">
      <c r="A9" s="32" t="s">
        <v>50</v>
      </c>
      <c r="B9" s="37">
        <f t="shared" si="0"/>
        <v>2417.9176945936497</v>
      </c>
      <c r="C9" s="33"/>
      <c r="D9" s="37">
        <f>IF(ISERROR(TER_gezond_gas_kWh/1000),0,TER_gezond_gas_kWh/1000)*0.902</f>
        <v>1949.2550575496621</v>
      </c>
      <c r="E9" s="33">
        <f>$C$29*'E Balans VL '!I10/100/3.6*1000000</f>
        <v>0.83153257036147632</v>
      </c>
      <c r="F9" s="33">
        <f>$C$29*('E Balans VL '!L10+'E Balans VL '!N10)/100/3.6*1000000</f>
        <v>211.33553020974799</v>
      </c>
      <c r="G9" s="34"/>
      <c r="H9" s="33"/>
      <c r="I9" s="33"/>
      <c r="J9" s="33">
        <f>$C$29*('E Balans VL '!D10+'E Balans VL '!E10)/100/3.6*1000000</f>
        <v>100.29729954564316</v>
      </c>
      <c r="K9" s="33"/>
      <c r="L9" s="33"/>
      <c r="M9" s="33"/>
      <c r="N9" s="33">
        <f>$C$29*'E Balans VL '!Y10/100/3.6*1000000</f>
        <v>25.350973516663046</v>
      </c>
      <c r="O9" s="33"/>
      <c r="P9" s="33"/>
      <c r="R9" s="32"/>
    </row>
    <row r="10" spans="1:18">
      <c r="A10" s="32" t="s">
        <v>49</v>
      </c>
      <c r="B10" s="37">
        <f t="shared" si="0"/>
        <v>3355.0621920072704</v>
      </c>
      <c r="C10" s="33"/>
      <c r="D10" s="37">
        <f>IF(ISERROR(TER_ander_gas_kWh/1000),0,TER_ander_gas_kWh/1000)*0.902</f>
        <v>1572.6533087673165</v>
      </c>
      <c r="E10" s="33">
        <f>$C$30*'E Balans VL '!I14/100/3.6*1000000</f>
        <v>1.9953779046622662</v>
      </c>
      <c r="F10" s="33">
        <f>$C$30*('E Balans VL '!L14+'E Balans VL '!N14)/100/3.6*1000000</f>
        <v>594.02429252373838</v>
      </c>
      <c r="G10" s="34"/>
      <c r="H10" s="33"/>
      <c r="I10" s="33"/>
      <c r="J10" s="33">
        <f>$C$30*('E Balans VL '!D14+'E Balans VL '!E14)/100/3.6*1000000</f>
        <v>0</v>
      </c>
      <c r="K10" s="33"/>
      <c r="L10" s="33"/>
      <c r="M10" s="33"/>
      <c r="N10" s="33">
        <f>$C$30*'E Balans VL '!Y14/100/3.6*1000000</f>
        <v>1992.1215533864208</v>
      </c>
      <c r="O10" s="33"/>
      <c r="P10" s="33"/>
      <c r="R10" s="32"/>
    </row>
    <row r="11" spans="1:18">
      <c r="A11" s="32" t="s">
        <v>54</v>
      </c>
      <c r="B11" s="37">
        <f t="shared" si="0"/>
        <v>75.660079419851201</v>
      </c>
      <c r="C11" s="33"/>
      <c r="D11" s="37">
        <f>IF(ISERROR(TER_onderwijs_gas_kWh/1000),0,TER_onderwijs_gas_kWh/1000)*0.902</f>
        <v>518.46448676297382</v>
      </c>
      <c r="E11" s="33">
        <f>$C$31*'E Balans VL '!I11/100/3.6*1000000</f>
        <v>5.0325379235324499E-2</v>
      </c>
      <c r="F11" s="33">
        <f>$C$31*('E Balans VL '!L11+'E Balans VL '!N11)/100/3.6*1000000</f>
        <v>24.240015223595794</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10307.9929837851</v>
      </c>
      <c r="C12" s="33"/>
      <c r="D12" s="37">
        <f>IF(ISERROR(TER_rest_gas_kWh/1000),0,TER_rest_gas_kWh/1000)*0.902</f>
        <v>26541.370828099232</v>
      </c>
      <c r="E12" s="33">
        <f>$C$32*'E Balans VL '!I8/100/3.6*1000000</f>
        <v>62.448738677004854</v>
      </c>
      <c r="F12" s="33">
        <f>$C$32*('E Balans VL '!L8+'E Balans VL '!N8)/100/3.6*1000000</f>
        <v>1382.4611678690319</v>
      </c>
      <c r="G12" s="34"/>
      <c r="H12" s="33"/>
      <c r="I12" s="33"/>
      <c r="J12" s="33">
        <f>$C$32*('E Balans VL '!D8+'E Balans VL '!E8)/100/3.6*1000000</f>
        <v>31.390379624776401</v>
      </c>
      <c r="K12" s="33"/>
      <c r="L12" s="33"/>
      <c r="M12" s="33"/>
      <c r="N12" s="33">
        <f>$C$32*'E Balans VL '!Y8/100/3.6*1000000</f>
        <v>743.74772831995051</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48222.537192510979</v>
      </c>
      <c r="C16" s="21">
        <f t="shared" ca="1" si="1"/>
        <v>0</v>
      </c>
      <c r="D16" s="21">
        <f t="shared" ca="1" si="1"/>
        <v>77805.685942883327</v>
      </c>
      <c r="E16" s="21">
        <f t="shared" si="1"/>
        <v>315.27447138793775</v>
      </c>
      <c r="F16" s="21">
        <f t="shared" ca="1" si="1"/>
        <v>6425.0975960246196</v>
      </c>
      <c r="G16" s="21">
        <f t="shared" si="1"/>
        <v>0</v>
      </c>
      <c r="H16" s="21">
        <f t="shared" si="1"/>
        <v>0</v>
      </c>
      <c r="I16" s="21">
        <f t="shared" si="1"/>
        <v>0</v>
      </c>
      <c r="J16" s="21">
        <f t="shared" si="1"/>
        <v>131.68767917041956</v>
      </c>
      <c r="K16" s="21">
        <f t="shared" si="1"/>
        <v>0</v>
      </c>
      <c r="L16" s="21">
        <f t="shared" ca="1" si="1"/>
        <v>0</v>
      </c>
      <c r="M16" s="21">
        <f t="shared" si="1"/>
        <v>0</v>
      </c>
      <c r="N16" s="21">
        <f t="shared" ca="1" si="1"/>
        <v>2915.0478238897645</v>
      </c>
      <c r="O16" s="21">
        <f>O5</f>
        <v>1.5633333333333335</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0.21431389775724838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10334.759905470904</v>
      </c>
      <c r="C20" s="23">
        <f t="shared" ref="C20:P20" ca="1" si="2">C16*C18</f>
        <v>0</v>
      </c>
      <c r="D20" s="23">
        <f t="shared" ca="1" si="2"/>
        <v>15716.748560462433</v>
      </c>
      <c r="E20" s="23">
        <f t="shared" si="2"/>
        <v>71.567305005061868</v>
      </c>
      <c r="F20" s="23">
        <f t="shared" ca="1" si="2"/>
        <v>1715.5010581385736</v>
      </c>
      <c r="G20" s="23">
        <f t="shared" si="2"/>
        <v>0</v>
      </c>
      <c r="H20" s="23">
        <f t="shared" si="2"/>
        <v>0</v>
      </c>
      <c r="I20" s="23">
        <f t="shared" si="2"/>
        <v>0</v>
      </c>
      <c r="J20" s="23">
        <f t="shared" si="2"/>
        <v>46.617438426328519</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13073.399093754901</v>
      </c>
      <c r="C26" s="39">
        <f>IF(ISERROR(B26*3.6/1000000/'E Balans VL '!Z12*100),0,B26*3.6/1000000/'E Balans VL '!Z12*100)</f>
        <v>0.27400221491814331</v>
      </c>
      <c r="D26" s="235" t="s">
        <v>647</v>
      </c>
      <c r="F26" s="6"/>
    </row>
    <row r="27" spans="1:18">
      <c r="A27" s="230" t="s">
        <v>52</v>
      </c>
      <c r="B27" s="33">
        <f>IF(ISERROR(TER_horeca_ele_kWh/1000),0,TER_horeca_ele_kWh/1000)</f>
        <v>6434.5744426996998</v>
      </c>
      <c r="C27" s="39">
        <f>IF(ISERROR(B27*3.6/1000000/'E Balans VL '!Z9*100),0,B27*3.6/1000000/'E Balans VL '!Z9*100)</f>
        <v>0.49333771532094201</v>
      </c>
      <c r="D27" s="235" t="s">
        <v>647</v>
      </c>
      <c r="F27" s="6"/>
    </row>
    <row r="28" spans="1:18">
      <c r="A28" s="170" t="s">
        <v>51</v>
      </c>
      <c r="B28" s="33">
        <f>IF(ISERROR(TER_handel_ele_kWh/1000),0,TER_handel_ele_kWh/1000)</f>
        <v>12557.930706250499</v>
      </c>
      <c r="C28" s="39">
        <f>IF(ISERROR(B28*3.6/1000000/'E Balans VL '!Z13*100),0,B28*3.6/1000000/'E Balans VL '!Z13*100)</f>
        <v>0.35427775092973646</v>
      </c>
      <c r="D28" s="235" t="s">
        <v>647</v>
      </c>
      <c r="F28" s="6"/>
    </row>
    <row r="29" spans="1:18">
      <c r="A29" s="230" t="s">
        <v>50</v>
      </c>
      <c r="B29" s="33">
        <f>IF(ISERROR(TER_gezond_ele_kWh/1000),0,TER_gezond_ele_kWh/1000)</f>
        <v>2417.9176945936497</v>
      </c>
      <c r="C29" s="39">
        <f>IF(ISERROR(B29*3.6/1000000/'E Balans VL '!Z10*100),0,B29*3.6/1000000/'E Balans VL '!Z10*100)</f>
        <v>0.26847968827047625</v>
      </c>
      <c r="D29" s="235" t="s">
        <v>647</v>
      </c>
      <c r="F29" s="6"/>
    </row>
    <row r="30" spans="1:18">
      <c r="A30" s="230" t="s">
        <v>49</v>
      </c>
      <c r="B30" s="33">
        <f>IF(ISERROR(TER_ander_ele_kWh/1000),0,TER_ander_ele_kWh/1000)</f>
        <v>3355.0621920072704</v>
      </c>
      <c r="C30" s="39">
        <f>IF(ISERROR(B30*3.6/1000000/'E Balans VL '!Z14*100),0,B30*3.6/1000000/'E Balans VL '!Z14*100)</f>
        <v>0.24208595392321547</v>
      </c>
      <c r="D30" s="235" t="s">
        <v>647</v>
      </c>
      <c r="F30" s="6"/>
    </row>
    <row r="31" spans="1:18">
      <c r="A31" s="230" t="s">
        <v>54</v>
      </c>
      <c r="B31" s="33">
        <f>IF(ISERROR(TER_onderwijs_ele_kWh/1000),0,TER_onderwijs_ele_kWh/1000)</f>
        <v>75.660079419851201</v>
      </c>
      <c r="C31" s="39">
        <f>IF(ISERROR(B31*3.6/1000000/'E Balans VL '!Z11*100),0,B31*3.6/1000000/'E Balans VL '!Z11*100)</f>
        <v>2.0972374703816896E-2</v>
      </c>
      <c r="D31" s="235" t="s">
        <v>647</v>
      </c>
    </row>
    <row r="32" spans="1:18">
      <c r="A32" s="230" t="s">
        <v>249</v>
      </c>
      <c r="B32" s="33">
        <f>IF(ISERROR(TER_rest_ele_kWh/1000),0,TER_rest_ele_kWh/1000)</f>
        <v>10307.9929837851</v>
      </c>
      <c r="C32" s="39">
        <f>IF(ISERROR(B32*3.6/1000000/'E Balans VL '!Z8*100),0,B32*3.6/1000000/'E Balans VL '!Z8*100)</f>
        <v>8.4026981529214756E-2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3</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41354.761908728935</v>
      </c>
      <c r="C5" s="17">
        <f>IF(ISERROR('Eigen informatie GS &amp; warmtenet'!B59),0,'Eigen informatie GS &amp; warmtenet'!B59)</f>
        <v>0</v>
      </c>
      <c r="D5" s="30">
        <f>SUM(D6:D15)</f>
        <v>59017.881473554691</v>
      </c>
      <c r="E5" s="17">
        <f>SUM(E6:E15)</f>
        <v>3058.4664851098623</v>
      </c>
      <c r="F5" s="17">
        <f>SUM(F6:F15)</f>
        <v>31445.150477217903</v>
      </c>
      <c r="G5" s="18"/>
      <c r="H5" s="17"/>
      <c r="I5" s="17"/>
      <c r="J5" s="17">
        <f>SUM(J6:J15)</f>
        <v>58.774361828600583</v>
      </c>
      <c r="K5" s="17"/>
      <c r="L5" s="17"/>
      <c r="M5" s="17"/>
      <c r="N5" s="17">
        <f>SUM(N6:N15)</f>
        <v>6129.6889414616362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174.49191707089298</v>
      </c>
      <c r="C8" s="33"/>
      <c r="D8" s="37">
        <f>IF( ISERROR(IND_metaal_Gas_kWH/1000),0,IND_metaal_Gas_kWH/1000)*0.902</f>
        <v>0</v>
      </c>
      <c r="E8" s="33">
        <f>C30*'E Balans VL '!I18/100/3.6*1000000</f>
        <v>5.0120628205828996</v>
      </c>
      <c r="F8" s="33">
        <f>C30*'E Balans VL '!L18/100/3.6*1000000+C30*'E Balans VL '!N18/100/3.6*1000000</f>
        <v>44.753820766829193</v>
      </c>
      <c r="G8" s="34"/>
      <c r="H8" s="33"/>
      <c r="I8" s="33"/>
      <c r="J8" s="40">
        <f>C30*'E Balans VL '!D18/100/3.6*1000000+C30*'E Balans VL '!E18/100/3.6*1000000</f>
        <v>0</v>
      </c>
      <c r="K8" s="33"/>
      <c r="L8" s="33"/>
      <c r="M8" s="33"/>
      <c r="N8" s="33">
        <f>C30*'E Balans VL '!Y18/100/3.6*1000000</f>
        <v>4.737811736941457</v>
      </c>
      <c r="O8" s="33"/>
      <c r="P8" s="33"/>
      <c r="R8" s="32"/>
    </row>
    <row r="9" spans="1:18">
      <c r="A9" s="6" t="s">
        <v>32</v>
      </c>
      <c r="B9" s="37">
        <f t="shared" si="0"/>
        <v>1515.0331435601199</v>
      </c>
      <c r="C9" s="33"/>
      <c r="D9" s="37">
        <f>IF( ISERROR(IND_andere_gas_kWh/1000),0,IND_andere_gas_kWh/1000)*0.902</f>
        <v>1851.1088269092281</v>
      </c>
      <c r="E9" s="33">
        <f>C31*'E Balans VL '!I19/100/3.6*1000000</f>
        <v>410.08222178054712</v>
      </c>
      <c r="F9" s="33">
        <f>C31*'E Balans VL '!L19/100/3.6*1000000+C31*'E Balans VL '!N19/100/3.6*1000000</f>
        <v>1009.1723976077484</v>
      </c>
      <c r="G9" s="34"/>
      <c r="H9" s="33"/>
      <c r="I9" s="33"/>
      <c r="J9" s="40">
        <f>C31*'E Balans VL '!D19/100/3.6*1000000+C31*'E Balans VL '!E19/100/3.6*1000000</f>
        <v>0</v>
      </c>
      <c r="K9" s="33"/>
      <c r="L9" s="33"/>
      <c r="M9" s="33"/>
      <c r="N9" s="33">
        <f>C31*'E Balans VL '!Y19/100/3.6*1000000</f>
        <v>128.0860163394749</v>
      </c>
      <c r="O9" s="33"/>
      <c r="P9" s="33"/>
      <c r="R9" s="32"/>
    </row>
    <row r="10" spans="1:18">
      <c r="A10" s="6" t="s">
        <v>40</v>
      </c>
      <c r="B10" s="37">
        <f t="shared" si="0"/>
        <v>16778.145548987199</v>
      </c>
      <c r="C10" s="33"/>
      <c r="D10" s="37">
        <f>IF( ISERROR(IND_voed_gas_kWh/1000),0,IND_voed_gas_kWh/1000)*0.902</f>
        <v>578.79183011954012</v>
      </c>
      <c r="E10" s="33">
        <f>C32*'E Balans VL '!I20/100/3.6*1000000</f>
        <v>1368.4640977617553</v>
      </c>
      <c r="F10" s="33">
        <f>C32*'E Balans VL '!L20/100/3.6*1000000+C32*'E Balans VL '!N20/100/3.6*1000000</f>
        <v>25017.737260285343</v>
      </c>
      <c r="G10" s="34"/>
      <c r="H10" s="33"/>
      <c r="I10" s="33"/>
      <c r="J10" s="40">
        <f>C32*'E Balans VL '!D20/100/3.6*1000000+C32*'E Balans VL '!E20/100/3.6*1000000</f>
        <v>0.22195449967650699</v>
      </c>
      <c r="K10" s="33"/>
      <c r="L10" s="33"/>
      <c r="M10" s="33"/>
      <c r="N10" s="33">
        <f>C32*'E Balans VL '!Y20/100/3.6*1000000</f>
        <v>4928.8271253740886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42.3894997396199</v>
      </c>
      <c r="C13" s="33"/>
      <c r="D13" s="37">
        <f>IF( ISERROR(IND_papier_gas_kWh/1000),0,IND_papier_gas_kWh/1000)*0.902</f>
        <v>36.936715869861985</v>
      </c>
      <c r="E13" s="33">
        <f>C35*'E Balans VL '!I23/100/3.6*1000000</f>
        <v>0.44410723401657776</v>
      </c>
      <c r="F13" s="33">
        <f>C35*'E Balans VL '!L23/100/3.6*1000000+C35*'E Balans VL '!N23/100/3.6*1000000</f>
        <v>3.163111983941107</v>
      </c>
      <c r="G13" s="34"/>
      <c r="H13" s="33"/>
      <c r="I13" s="33"/>
      <c r="J13" s="40">
        <f>C35*'E Balans VL '!D23/100/3.6*1000000+C35*'E Balans VL '!E23/100/3.6*1000000</f>
        <v>0</v>
      </c>
      <c r="K13" s="33"/>
      <c r="L13" s="33"/>
      <c r="M13" s="33"/>
      <c r="N13" s="33">
        <f>C35*'E Balans VL '!Y23/100/3.6*1000000</f>
        <v>7.8199461357877675</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22844.701799371102</v>
      </c>
      <c r="C15" s="33"/>
      <c r="D15" s="37">
        <f>IF( ISERROR(IND_rest_gas_kWh/1000),0,IND_rest_gas_kWh/1000)*0.902</f>
        <v>56551.044100656058</v>
      </c>
      <c r="E15" s="33">
        <f>C37*'E Balans VL '!I15/100/3.6*1000000</f>
        <v>1274.4639955129603</v>
      </c>
      <c r="F15" s="33">
        <f>C37*'E Balans VL '!L15/100/3.6*1000000+C37*'E Balans VL '!N15/100/3.6*1000000</f>
        <v>5370.3238865740414</v>
      </c>
      <c r="G15" s="34"/>
      <c r="H15" s="33"/>
      <c r="I15" s="33"/>
      <c r="J15" s="40">
        <f>C37*'E Balans VL '!D15/100/3.6*1000000+C37*'E Balans VL '!E15/100/3.6*1000000</f>
        <v>58.552407328924076</v>
      </c>
      <c r="K15" s="33"/>
      <c r="L15" s="33"/>
      <c r="M15" s="33"/>
      <c r="N15" s="33">
        <f>C37*'E Balans VL '!Y15/100/3.6*1000000</f>
        <v>1060.2180418753435</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41354.761908728935</v>
      </c>
      <c r="C18" s="21">
        <f>C5+C16</f>
        <v>0</v>
      </c>
      <c r="D18" s="21">
        <f>MAX((D5+D16),0)</f>
        <v>59017.881473554691</v>
      </c>
      <c r="E18" s="21">
        <f>MAX((E5+E16),0)</f>
        <v>3058.4664851098623</v>
      </c>
      <c r="F18" s="21">
        <f>MAX((F5+F16),0)</f>
        <v>31445.150477217903</v>
      </c>
      <c r="G18" s="21"/>
      <c r="H18" s="21"/>
      <c r="I18" s="21"/>
      <c r="J18" s="21">
        <f>MAX((J5+J16),0)</f>
        <v>58.774361828600583</v>
      </c>
      <c r="K18" s="21"/>
      <c r="L18" s="21">
        <f>MAX((L5+L16),0)</f>
        <v>0</v>
      </c>
      <c r="M18" s="21"/>
      <c r="N18" s="21">
        <f>MAX((N5+N16),0)</f>
        <v>6129.6889414616362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0.21431389775724838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8862.9002154826831</v>
      </c>
      <c r="C22" s="23">
        <f ca="1">C18*C20</f>
        <v>0</v>
      </c>
      <c r="D22" s="23">
        <f>D18*D20</f>
        <v>11921.612057658049</v>
      </c>
      <c r="E22" s="23">
        <f>E18*E20</f>
        <v>694.2718921199388</v>
      </c>
      <c r="F22" s="23">
        <f>F18*F20</f>
        <v>8395.855177417181</v>
      </c>
      <c r="G22" s="23"/>
      <c r="H22" s="23"/>
      <c r="I22" s="23"/>
      <c r="J22" s="23">
        <f>J18*J20</f>
        <v>20.806124087324605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174.49191707089298</v>
      </c>
      <c r="C30" s="39">
        <f>IF(ISERROR(B30*3.6/1000000/'E Balans VL '!Z18*100),0,B30*3.6/1000000/'E Balans VL '!Z18*100)</f>
        <v>1.7169559209361088E-2</v>
      </c>
      <c r="D30" s="235" t="s">
        <v>647</v>
      </c>
    </row>
    <row r="31" spans="1:18">
      <c r="A31" s="6" t="s">
        <v>32</v>
      </c>
      <c r="B31" s="37">
        <f>IF( ISERROR(IND_ander_ele_kWh/1000),0,IND_ander_ele_kWh/1000)</f>
        <v>1515.0331435601199</v>
      </c>
      <c r="C31" s="39">
        <f>IF(ISERROR(B31*3.6/1000000/'E Balans VL '!Z19*100),0,B31*3.6/1000000/'E Balans VL '!Z19*100)</f>
        <v>6.5978484872009413E-2</v>
      </c>
      <c r="D31" s="235" t="s">
        <v>647</v>
      </c>
    </row>
    <row r="32" spans="1:18">
      <c r="A32" s="170" t="s">
        <v>40</v>
      </c>
      <c r="B32" s="37">
        <f>IF( ISERROR(IND_voed_ele_kWh/1000),0,IND_voed_ele_kWh/1000)</f>
        <v>16778.145548987199</v>
      </c>
      <c r="C32" s="39">
        <f>IF(ISERROR(B32*3.6/1000000/'E Balans VL '!Z20*100),0,B32*3.6/1000000/'E Balans VL '!Z20*100)</f>
        <v>3.1834111507386207</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42.3894997396199</v>
      </c>
      <c r="C35" s="39">
        <f>IF(ISERROR(B35*3.6/1000000/'E Balans VL '!Z22*100),0,B35*3.6/1000000/'E Balans VL '!Z22*100)</f>
        <v>5.9603893254792139E-3</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22844.701799371102</v>
      </c>
      <c r="C37" s="39">
        <f>IF(ISERROR(B37*3.6/1000000/'E Balans VL '!Z15*100),0,B37*3.6/1000000/'E Balans VL '!Z15*100)</f>
        <v>0.17604648644174084</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932.20379015689798</v>
      </c>
      <c r="C5" s="17">
        <f>'Eigen informatie GS &amp; warmtenet'!B60</f>
        <v>0</v>
      </c>
      <c r="D5" s="30">
        <f>IF(ISERROR(SUM(LB_lb_gas_kWh,LB_rest_gas_kWh)/1000),0,SUM(LB_lb_gas_kWh,LB_rest_gas_kWh)/1000)*0.902</f>
        <v>645.99622264407913</v>
      </c>
      <c r="E5" s="17">
        <f>B17*'E Balans VL '!I25/3.6*1000000/100</f>
        <v>19.356941509360269</v>
      </c>
      <c r="F5" s="17">
        <f>B17*('E Balans VL '!L25/3.6*1000000+'E Balans VL '!N25/3.6*1000000)/100</f>
        <v>3294.4319815323915</v>
      </c>
      <c r="G5" s="18"/>
      <c r="H5" s="17"/>
      <c r="I5" s="17"/>
      <c r="J5" s="17">
        <f>('E Balans VL '!D25+'E Balans VL '!E25)/3.6*1000000*landbouw!B17/100</f>
        <v>106.91787870019394</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932.20379015689798</v>
      </c>
      <c r="C8" s="21">
        <f>C5+C6</f>
        <v>0</v>
      </c>
      <c r="D8" s="21">
        <f>MAX((D5+D6),0)</f>
        <v>645.99622264407913</v>
      </c>
      <c r="E8" s="21">
        <f>MAX((E5+E6),0)</f>
        <v>19.356941509360269</v>
      </c>
      <c r="F8" s="21">
        <f>MAX((F5+F6),0)</f>
        <v>3294.4319815323915</v>
      </c>
      <c r="G8" s="21"/>
      <c r="H8" s="21"/>
      <c r="I8" s="21"/>
      <c r="J8" s="21">
        <f>MAX((J5+J6),0)</f>
        <v>106.91787870019394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0.21431389775724838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199.78422777260485</v>
      </c>
      <c r="C12" s="23">
        <f ca="1">C8*C10</f>
        <v>0</v>
      </c>
      <c r="D12" s="23">
        <f>D8*D10</f>
        <v>130.491236974104</v>
      </c>
      <c r="E12" s="23">
        <f>E8*E10</f>
        <v>4.3940257226247814</v>
      </c>
      <c r="F12" s="23">
        <f>F8*F10</f>
        <v>879.61333906914854</v>
      </c>
      <c r="G12" s="23"/>
      <c r="H12" s="23"/>
      <c r="I12" s="23"/>
      <c r="J12" s="23">
        <f>J8*J10</f>
        <v>37.848929059868652</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0.13001304736890065</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69.073050871944346</v>
      </c>
      <c r="C26" s="245">
        <f>B26*'GWP N2O_CH4'!B5</f>
        <v>1450.5340683108313</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4.8156058908204038</v>
      </c>
      <c r="C27" s="245">
        <f>B27*'GWP N2O_CH4'!B5</f>
        <v>101.12772370722848</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1.2056318838226825</v>
      </c>
      <c r="C28" s="245">
        <f>B28*'GWP N2O_CH4'!B4</f>
        <v>373.74588398503158</v>
      </c>
      <c r="D28" s="50"/>
    </row>
    <row r="29" spans="1:4">
      <c r="A29" s="41" t="s">
        <v>266</v>
      </c>
      <c r="B29" s="245">
        <f>B34*'ha_N2O bodem landbouw'!B4</f>
        <v>7.4636500670651458</v>
      </c>
      <c r="C29" s="245">
        <f>B29*'GWP N2O_CH4'!B4</f>
        <v>2313.7315207901952</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1.8635988428731846E-3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1.9869876483590463E-4</v>
      </c>
      <c r="C5" s="434" t="s">
        <v>204</v>
      </c>
      <c r="D5" s="419">
        <f>SUM(D6:D11)</f>
        <v>1.8421402569275869E-4</v>
      </c>
      <c r="E5" s="419">
        <f>SUM(E6:E11)</f>
        <v>7.4282911287892085E-3</v>
      </c>
      <c r="F5" s="432" t="s">
        <v>204</v>
      </c>
      <c r="G5" s="419">
        <f>SUM(G6:G11)</f>
        <v>1.8260060478775502</v>
      </c>
      <c r="H5" s="419">
        <f>SUM(H6:H11)</f>
        <v>0.34601136926454662</v>
      </c>
      <c r="I5" s="434" t="s">
        <v>204</v>
      </c>
      <c r="J5" s="434" t="s">
        <v>204</v>
      </c>
      <c r="K5" s="434" t="s">
        <v>204</v>
      </c>
      <c r="L5" s="434" t="s">
        <v>204</v>
      </c>
      <c r="M5" s="419">
        <f>SUM(M6:M11)</f>
        <v>9.8218924019863152E-2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3.2979102273467924E-5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2.9252725691860398E-5</v>
      </c>
      <c r="E6" s="836">
        <f>vkm_GW_PW*SUMIFS(TableVerdeelsleutelVkm[LPG],TableVerdeelsleutelVkm[Voertuigtype],"Lichte voertuigen")*SUMIFS(TableECFTransport[EnergieConsumptieFactor (PJ per km)],TableECFTransport[Index],CONCATENATE($A6,"_LPG_LPG"))</f>
        <v>1.0504412365002964E-3</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0.20882186804724262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5.3906094474702577E-2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1.1885862666140659E-2</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2.0524758679607253E-7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3.2118195588799567E-2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8.4488806291140444E-7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1.4501911600776117E-3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3.5377205710034859E-5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4.9369768828856998E-5</v>
      </c>
      <c r="E8" s="422">
        <f>vkm_NGW_PW*SUMIFS(TableVerdeelsleutelVkm[LPG],TableVerdeelsleutelVkm[Voertuigtype],"Lichte voertuigen")*SUMIFS(TableECFTransport[EnergieConsumptieFactor (PJ per km)],TableECFTransport[Index],CONCATENATE($A8,"_LPG_LPG"))</f>
        <v>1.6830894906834034E-3</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0.31566089303161365</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8.7203046719891569E-2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1.8227627056546958E-2</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1.1480183573710098E-7</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2.3076076083361763E-2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5.7040903186075056E-7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1.0419224153809087E-3</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1.2739613189969673E-4</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1.055915311720413E-4</v>
      </c>
      <c r="E10" s="422">
        <f>vkm_SW_PW*SUMIFS(TableVerdeelsleutelVkm[LPG],TableVerdeelsleutelVkm[Voertuigtype],"Lichte voertuigen")*SUMIFS(TableECFTransport[EnergieConsumptieFactor (PJ per km)],TableECFTransport[Index],CONCATENATE($A10,"_LPG_LPG"))</f>
        <v>4.6947604016055085E-3</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0.85475770689272323</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0.204889685420485</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4.7933172444990617E-2</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2.6262755301719448E-6</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0.3915713082338092</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1.1127352372662874E-5</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1.7680148276726391E-2</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55.194101343306841</v>
      </c>
      <c r="C14" s="21"/>
      <c r="D14" s="21">
        <f t="shared" ref="D14:M14" si="0">((D5)*10^9/3600)+D12</f>
        <v>51.170562692432974</v>
      </c>
      <c r="E14" s="21">
        <f t="shared" si="0"/>
        <v>2063.4142024414468</v>
      </c>
      <c r="F14" s="21"/>
      <c r="G14" s="21">
        <f t="shared" si="0"/>
        <v>507223.90218820836</v>
      </c>
      <c r="H14" s="21">
        <f t="shared" si="0"/>
        <v>96114.269240151843</v>
      </c>
      <c r="I14" s="21"/>
      <c r="J14" s="21"/>
      <c r="K14" s="21"/>
      <c r="L14" s="21"/>
      <c r="M14" s="21">
        <f t="shared" si="0"/>
        <v>27283.03444996199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0.21431389775724838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11.828862992092668</v>
      </c>
      <c r="C18" s="23"/>
      <c r="D18" s="23">
        <f t="shared" ref="D18:M18" si="1">D14*D16</f>
        <v>10.336453663871461</v>
      </c>
      <c r="E18" s="23">
        <f t="shared" si="1"/>
        <v>468.39502395420845</v>
      </c>
      <c r="F18" s="23"/>
      <c r="G18" s="23">
        <f t="shared" si="1"/>
        <v>135428.78188425163</v>
      </c>
      <c r="H18" s="23">
        <f t="shared" si="1"/>
        <v>23932.453040797809</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1.3932937387417852E-4</v>
      </c>
      <c r="C50" s="316">
        <f t="shared" ref="C50:P50" si="2">SUM(C51:C52)</f>
        <v>0</v>
      </c>
      <c r="D50" s="316">
        <f t="shared" si="2"/>
        <v>0</v>
      </c>
      <c r="E50" s="316">
        <f t="shared" si="2"/>
        <v>0</v>
      </c>
      <c r="F50" s="316">
        <f t="shared" si="2"/>
        <v>0</v>
      </c>
      <c r="G50" s="316">
        <f t="shared" si="2"/>
        <v>2.7119674244250224E-2</v>
      </c>
      <c r="H50" s="316">
        <f t="shared" si="2"/>
        <v>0</v>
      </c>
      <c r="I50" s="316">
        <f t="shared" si="2"/>
        <v>0</v>
      </c>
      <c r="J50" s="316">
        <f t="shared" si="2"/>
        <v>0</v>
      </c>
      <c r="K50" s="316">
        <f t="shared" si="2"/>
        <v>0</v>
      </c>
      <c r="L50" s="316">
        <f t="shared" si="2"/>
        <v>0</v>
      </c>
      <c r="M50" s="316">
        <f t="shared" si="2"/>
        <v>1.2160689808339933E-3</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1.3932937387417852E-4</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2.7119674244250224E-2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1.2160689808339933E-3</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38.702603853938477</v>
      </c>
      <c r="C54" s="21">
        <f t="shared" ref="C54:P54" si="3">(C50)*10^9/3600</f>
        <v>0</v>
      </c>
      <c r="D54" s="21">
        <f t="shared" si="3"/>
        <v>0</v>
      </c>
      <c r="E54" s="21">
        <f t="shared" si="3"/>
        <v>0</v>
      </c>
      <c r="F54" s="21">
        <f t="shared" si="3"/>
        <v>0</v>
      </c>
      <c r="G54" s="21">
        <f t="shared" si="3"/>
        <v>7533.2428456250618</v>
      </c>
      <c r="H54" s="21">
        <f t="shared" si="3"/>
        <v>0</v>
      </c>
      <c r="I54" s="21">
        <f t="shared" si="3"/>
        <v>0</v>
      </c>
      <c r="J54" s="21">
        <f t="shared" si="3"/>
        <v>0</v>
      </c>
      <c r="K54" s="21">
        <f t="shared" si="3"/>
        <v>0</v>
      </c>
      <c r="L54" s="21">
        <f t="shared" si="3"/>
        <v>0</v>
      </c>
      <c r="M54" s="21">
        <f t="shared" si="3"/>
        <v>337.7969391205537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0.21431389775724838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8.2945058852922582</v>
      </c>
      <c r="C58" s="23">
        <f t="shared" ref="C58:P58" ca="1" si="4">C54*C56</f>
        <v>0</v>
      </c>
      <c r="D58" s="23">
        <f t="shared" si="4"/>
        <v>0</v>
      </c>
      <c r="E58" s="23">
        <f t="shared" si="4"/>
        <v>0</v>
      </c>
      <c r="F58" s="23">
        <f t="shared" si="4"/>
        <v>0</v>
      </c>
      <c r="G58" s="23">
        <f t="shared" si="4"/>
        <v>2011.3758397818917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5064.522153237579</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5064.522153237579</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50248.321192510979</v>
      </c>
      <c r="D10" s="640">
        <f ca="1">tertiair!C16</f>
        <v>0</v>
      </c>
      <c r="E10" s="640">
        <f ca="1">tertiair!D16</f>
        <v>77805.685942883327</v>
      </c>
      <c r="F10" s="640">
        <f>tertiair!E16</f>
        <v>315.27447138793775</v>
      </c>
      <c r="G10" s="640">
        <f ca="1">tertiair!F16</f>
        <v>6425.0975960246196</v>
      </c>
      <c r="H10" s="640">
        <f>tertiair!G16</f>
        <v>0</v>
      </c>
      <c r="I10" s="640">
        <f>tertiair!H16</f>
        <v>0</v>
      </c>
      <c r="J10" s="640">
        <f>tertiair!I16</f>
        <v>0</v>
      </c>
      <c r="K10" s="640">
        <f>tertiair!J16</f>
        <v>131.68767917041956</v>
      </c>
      <c r="L10" s="640">
        <f>tertiair!K16</f>
        <v>0</v>
      </c>
      <c r="M10" s="640">
        <f ca="1">tertiair!L16</f>
        <v>0</v>
      </c>
      <c r="N10" s="640">
        <f>tertiair!M16</f>
        <v>0</v>
      </c>
      <c r="O10" s="640">
        <f ca="1">tertiair!N16</f>
        <v>2915.0478238897645</v>
      </c>
      <c r="P10" s="640">
        <f>tertiair!O16</f>
        <v>1.5633333333333335</v>
      </c>
      <c r="Q10" s="641">
        <f>tertiair!P16</f>
        <v>57.2</v>
      </c>
      <c r="R10" s="643">
        <f ca="1">SUM(C10:Q10)</f>
        <v>137899.87803920038</v>
      </c>
      <c r="S10" s="67"/>
    </row>
    <row r="11" spans="1:19" s="444" customFormat="1">
      <c r="A11" s="754" t="s">
        <v>214</v>
      </c>
      <c r="B11" s="759"/>
      <c r="C11" s="640">
        <f>huishoudens!B8</f>
        <v>71595.099426939138</v>
      </c>
      <c r="D11" s="640">
        <f>huishoudens!C8</f>
        <v>0</v>
      </c>
      <c r="E11" s="640">
        <f>huishoudens!D8</f>
        <v>212490.95955094675</v>
      </c>
      <c r="F11" s="640">
        <f>huishoudens!E8</f>
        <v>3384.744894836987</v>
      </c>
      <c r="G11" s="640">
        <f>huishoudens!F8</f>
        <v>103727.10746274229</v>
      </c>
      <c r="H11" s="640">
        <f>huishoudens!G8</f>
        <v>0</v>
      </c>
      <c r="I11" s="640">
        <f>huishoudens!H8</f>
        <v>0</v>
      </c>
      <c r="J11" s="640">
        <f>huishoudens!I8</f>
        <v>0</v>
      </c>
      <c r="K11" s="640">
        <f>huishoudens!J8</f>
        <v>1964.3848765847122</v>
      </c>
      <c r="L11" s="640">
        <f>huishoudens!K8</f>
        <v>0</v>
      </c>
      <c r="M11" s="640">
        <f>huishoudens!L8</f>
        <v>0</v>
      </c>
      <c r="N11" s="640">
        <f>huishoudens!M8</f>
        <v>0</v>
      </c>
      <c r="O11" s="640">
        <f>huishoudens!N8</f>
        <v>25628.321848920379</v>
      </c>
      <c r="P11" s="640">
        <f>huishoudens!O8</f>
        <v>281.40000000000003</v>
      </c>
      <c r="Q11" s="641">
        <f>huishoudens!P8</f>
        <v>629.20000000000005</v>
      </c>
      <c r="R11" s="643">
        <f>SUM(C11:Q11)</f>
        <v>419701.21806097025</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41354.761908728935</v>
      </c>
      <c r="D13" s="640">
        <f>industrie!C18</f>
        <v>0</v>
      </c>
      <c r="E13" s="640">
        <f>industrie!D18</f>
        <v>59017.881473554691</v>
      </c>
      <c r="F13" s="640">
        <f>industrie!E18</f>
        <v>3058.4664851098623</v>
      </c>
      <c r="G13" s="640">
        <f>industrie!F18</f>
        <v>31445.150477217903</v>
      </c>
      <c r="H13" s="640">
        <f>industrie!G18</f>
        <v>0</v>
      </c>
      <c r="I13" s="640">
        <f>industrie!H18</f>
        <v>0</v>
      </c>
      <c r="J13" s="640">
        <f>industrie!I18</f>
        <v>0</v>
      </c>
      <c r="K13" s="640">
        <f>industrie!J18</f>
        <v>58.774361828600583</v>
      </c>
      <c r="L13" s="640">
        <f>industrie!K18</f>
        <v>0</v>
      </c>
      <c r="M13" s="640">
        <f>industrie!L18</f>
        <v>0</v>
      </c>
      <c r="N13" s="640">
        <f>industrie!M18</f>
        <v>0</v>
      </c>
      <c r="O13" s="640">
        <f>industrie!N18</f>
        <v>6129.6889414616362</v>
      </c>
      <c r="P13" s="640">
        <f>industrie!O18</f>
        <v>0</v>
      </c>
      <c r="Q13" s="641">
        <f>industrie!P18</f>
        <v>0</v>
      </c>
      <c r="R13" s="643">
        <f>SUM(C13:Q13)</f>
        <v>141064.72364790164</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163198.18252817905</v>
      </c>
      <c r="D16" s="675">
        <f t="shared" ref="D16:R16" ca="1" si="0">SUM(D9:D15)</f>
        <v>0</v>
      </c>
      <c r="E16" s="675">
        <f t="shared" ca="1" si="0"/>
        <v>349314.52696738479</v>
      </c>
      <c r="F16" s="675">
        <f t="shared" si="0"/>
        <v>6758.4858513347872</v>
      </c>
      <c r="G16" s="675">
        <f t="shared" ca="1" si="0"/>
        <v>141597.3555359848</v>
      </c>
      <c r="H16" s="675">
        <f t="shared" si="0"/>
        <v>0</v>
      </c>
      <c r="I16" s="675">
        <f t="shared" si="0"/>
        <v>0</v>
      </c>
      <c r="J16" s="675">
        <f t="shared" si="0"/>
        <v>0</v>
      </c>
      <c r="K16" s="675">
        <f t="shared" si="0"/>
        <v>2154.8469175837322</v>
      </c>
      <c r="L16" s="675">
        <f t="shared" si="0"/>
        <v>0</v>
      </c>
      <c r="M16" s="675">
        <f t="shared" ca="1" si="0"/>
        <v>0</v>
      </c>
      <c r="N16" s="675">
        <f t="shared" si="0"/>
        <v>0</v>
      </c>
      <c r="O16" s="675">
        <f t="shared" ca="1" si="0"/>
        <v>34673.05861427178</v>
      </c>
      <c r="P16" s="675">
        <f t="shared" si="0"/>
        <v>282.96333333333337</v>
      </c>
      <c r="Q16" s="675">
        <f t="shared" si="0"/>
        <v>686.40000000000009</v>
      </c>
      <c r="R16" s="675">
        <f t="shared" ca="1" si="0"/>
        <v>698665.8197480723</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38.702603853938477</v>
      </c>
      <c r="D19" s="640">
        <f>transport!C54</f>
        <v>0</v>
      </c>
      <c r="E19" s="640">
        <f>transport!D54</f>
        <v>0</v>
      </c>
      <c r="F19" s="640">
        <f>transport!E54</f>
        <v>0</v>
      </c>
      <c r="G19" s="640">
        <f>transport!F54</f>
        <v>0</v>
      </c>
      <c r="H19" s="640">
        <f>transport!G54</f>
        <v>7533.2428456250618</v>
      </c>
      <c r="I19" s="640">
        <f>transport!H54</f>
        <v>0</v>
      </c>
      <c r="J19" s="640">
        <f>transport!I54</f>
        <v>0</v>
      </c>
      <c r="K19" s="640">
        <f>transport!J54</f>
        <v>0</v>
      </c>
      <c r="L19" s="640">
        <f>transport!K54</f>
        <v>0</v>
      </c>
      <c r="M19" s="640">
        <f>transport!L54</f>
        <v>0</v>
      </c>
      <c r="N19" s="640">
        <f>transport!M54</f>
        <v>337.7969391205537</v>
      </c>
      <c r="O19" s="640">
        <f>transport!N54</f>
        <v>0</v>
      </c>
      <c r="P19" s="640">
        <f>transport!O54</f>
        <v>0</v>
      </c>
      <c r="Q19" s="641">
        <f>transport!P54</f>
        <v>0</v>
      </c>
      <c r="R19" s="643">
        <f>SUM(C19:Q19)</f>
        <v>7909.742388599554</v>
      </c>
      <c r="S19" s="67"/>
    </row>
    <row r="20" spans="1:19" s="444" customFormat="1">
      <c r="A20" s="754" t="s">
        <v>296</v>
      </c>
      <c r="B20" s="759"/>
      <c r="C20" s="640">
        <f>transport!B14</f>
        <v>55.194101343306841</v>
      </c>
      <c r="D20" s="640">
        <f>transport!C14</f>
        <v>0</v>
      </c>
      <c r="E20" s="640">
        <f>transport!D14</f>
        <v>51.170562692432974</v>
      </c>
      <c r="F20" s="640">
        <f>transport!E14</f>
        <v>2063.4142024414468</v>
      </c>
      <c r="G20" s="640">
        <f>transport!F14</f>
        <v>0</v>
      </c>
      <c r="H20" s="640">
        <f>transport!G14</f>
        <v>507223.90218820836</v>
      </c>
      <c r="I20" s="640">
        <f>transport!H14</f>
        <v>96114.269240151843</v>
      </c>
      <c r="J20" s="640">
        <f>transport!I14</f>
        <v>0</v>
      </c>
      <c r="K20" s="640">
        <f>transport!J14</f>
        <v>0</v>
      </c>
      <c r="L20" s="640">
        <f>transport!K14</f>
        <v>0</v>
      </c>
      <c r="M20" s="640">
        <f>transport!L14</f>
        <v>0</v>
      </c>
      <c r="N20" s="640">
        <f>transport!M14</f>
        <v>27283.03444996199</v>
      </c>
      <c r="O20" s="640">
        <f>transport!N14</f>
        <v>0</v>
      </c>
      <c r="P20" s="640">
        <f>transport!O14</f>
        <v>0</v>
      </c>
      <c r="Q20" s="641">
        <f>transport!P14</f>
        <v>0</v>
      </c>
      <c r="R20" s="643">
        <f>SUM(C20:Q20)</f>
        <v>632790.98474479932</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93.896705197245325</v>
      </c>
      <c r="D22" s="757">
        <f t="shared" ref="D22:R22" si="1">SUM(D18:D21)</f>
        <v>0</v>
      </c>
      <c r="E22" s="757">
        <f t="shared" si="1"/>
        <v>51.170562692432974</v>
      </c>
      <c r="F22" s="757">
        <f t="shared" si="1"/>
        <v>2063.4142024414468</v>
      </c>
      <c r="G22" s="757">
        <f t="shared" si="1"/>
        <v>0</v>
      </c>
      <c r="H22" s="757">
        <f t="shared" si="1"/>
        <v>514757.1450338334</v>
      </c>
      <c r="I22" s="757">
        <f t="shared" si="1"/>
        <v>96114.269240151843</v>
      </c>
      <c r="J22" s="757">
        <f t="shared" si="1"/>
        <v>0</v>
      </c>
      <c r="K22" s="757">
        <f t="shared" si="1"/>
        <v>0</v>
      </c>
      <c r="L22" s="757">
        <f t="shared" si="1"/>
        <v>0</v>
      </c>
      <c r="M22" s="757">
        <f t="shared" si="1"/>
        <v>0</v>
      </c>
      <c r="N22" s="757">
        <f t="shared" si="1"/>
        <v>27620.831389082545</v>
      </c>
      <c r="O22" s="757">
        <f t="shared" si="1"/>
        <v>0</v>
      </c>
      <c r="P22" s="757">
        <f t="shared" si="1"/>
        <v>0</v>
      </c>
      <c r="Q22" s="757">
        <f t="shared" si="1"/>
        <v>0</v>
      </c>
      <c r="R22" s="757">
        <f t="shared" si="1"/>
        <v>640700.72713339888</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932.20379015689798</v>
      </c>
      <c r="D24" s="640">
        <f>+landbouw!C8</f>
        <v>0</v>
      </c>
      <c r="E24" s="640">
        <f>+landbouw!D8</f>
        <v>645.99622264407913</v>
      </c>
      <c r="F24" s="640">
        <f>+landbouw!E8</f>
        <v>19.356941509360269</v>
      </c>
      <c r="G24" s="640">
        <f>+landbouw!F8</f>
        <v>3294.4319815323915</v>
      </c>
      <c r="H24" s="640">
        <f>+landbouw!G8</f>
        <v>0</v>
      </c>
      <c r="I24" s="640">
        <f>+landbouw!H8</f>
        <v>0</v>
      </c>
      <c r="J24" s="640">
        <f>+landbouw!I8</f>
        <v>0</v>
      </c>
      <c r="K24" s="640">
        <f>+landbouw!J8</f>
        <v>106.91787870019394</v>
      </c>
      <c r="L24" s="640">
        <f>+landbouw!K8</f>
        <v>0</v>
      </c>
      <c r="M24" s="640">
        <f>+landbouw!L8</f>
        <v>0</v>
      </c>
      <c r="N24" s="640">
        <f>+landbouw!M8</f>
        <v>0</v>
      </c>
      <c r="O24" s="640">
        <f>+landbouw!N8</f>
        <v>0</v>
      </c>
      <c r="P24" s="640">
        <f>+landbouw!O8</f>
        <v>0</v>
      </c>
      <c r="Q24" s="641">
        <f>+landbouw!P8</f>
        <v>0</v>
      </c>
      <c r="R24" s="643">
        <f>SUM(C24:Q24)</f>
        <v>4998.9068145429228</v>
      </c>
      <c r="S24" s="67"/>
    </row>
    <row r="25" spans="1:19" s="444" customFormat="1" ht="15" thickBot="1">
      <c r="A25" s="776" t="s">
        <v>806</v>
      </c>
      <c r="B25" s="939"/>
      <c r="C25" s="940">
        <f>IF(Onbekend_ele_kWh="---",0,Onbekend_ele_kWh)/1000+IF(REST_rest_ele_kWh="---",0,REST_rest_ele_kWh)/1000</f>
        <v>3176.5964767594901</v>
      </c>
      <c r="D25" s="940"/>
      <c r="E25" s="940">
        <f>IF(onbekend_gas_kWh="---",0,onbekend_gas_kWh)/1000+IF(REST_rest_gas_kWh="---",0,REST_rest_gas_kWh)/1000</f>
        <v>7515.2540147776099</v>
      </c>
      <c r="F25" s="940"/>
      <c r="G25" s="940"/>
      <c r="H25" s="940"/>
      <c r="I25" s="940"/>
      <c r="J25" s="940"/>
      <c r="K25" s="940"/>
      <c r="L25" s="940"/>
      <c r="M25" s="940"/>
      <c r="N25" s="940"/>
      <c r="O25" s="940"/>
      <c r="P25" s="940"/>
      <c r="Q25" s="941"/>
      <c r="R25" s="643">
        <f>SUM(C25:Q25)</f>
        <v>10691.8504915371</v>
      </c>
      <c r="S25" s="67"/>
    </row>
    <row r="26" spans="1:19" s="444" customFormat="1" ht="15.75" thickBot="1">
      <c r="A26" s="648" t="s">
        <v>807</v>
      </c>
      <c r="B26" s="762"/>
      <c r="C26" s="757">
        <f>SUM(C24:C25)</f>
        <v>4108.800266916388</v>
      </c>
      <c r="D26" s="757">
        <f t="shared" ref="D26:R26" si="2">SUM(D24:D25)</f>
        <v>0</v>
      </c>
      <c r="E26" s="757">
        <f t="shared" si="2"/>
        <v>8161.2502374216892</v>
      </c>
      <c r="F26" s="757">
        <f t="shared" si="2"/>
        <v>19.356941509360269</v>
      </c>
      <c r="G26" s="757">
        <f t="shared" si="2"/>
        <v>3294.4319815323915</v>
      </c>
      <c r="H26" s="757">
        <f t="shared" si="2"/>
        <v>0</v>
      </c>
      <c r="I26" s="757">
        <f t="shared" si="2"/>
        <v>0</v>
      </c>
      <c r="J26" s="757">
        <f t="shared" si="2"/>
        <v>0</v>
      </c>
      <c r="K26" s="757">
        <f t="shared" si="2"/>
        <v>106.91787870019394</v>
      </c>
      <c r="L26" s="757">
        <f t="shared" si="2"/>
        <v>0</v>
      </c>
      <c r="M26" s="757">
        <f t="shared" si="2"/>
        <v>0</v>
      </c>
      <c r="N26" s="757">
        <f t="shared" si="2"/>
        <v>0</v>
      </c>
      <c r="O26" s="757">
        <f t="shared" si="2"/>
        <v>0</v>
      </c>
      <c r="P26" s="757">
        <f t="shared" si="2"/>
        <v>0</v>
      </c>
      <c r="Q26" s="757">
        <f t="shared" si="2"/>
        <v>0</v>
      </c>
      <c r="R26" s="757">
        <f t="shared" si="2"/>
        <v>15690.757306080022</v>
      </c>
      <c r="S26" s="67"/>
    </row>
    <row r="27" spans="1:19" s="444" customFormat="1" ht="17.25" thickTop="1" thickBot="1">
      <c r="A27" s="649" t="s">
        <v>109</v>
      </c>
      <c r="B27" s="749"/>
      <c r="C27" s="650">
        <f ca="1">C22+C16+C26</f>
        <v>167400.87950029271</v>
      </c>
      <c r="D27" s="650">
        <f t="shared" ref="D27:R27" ca="1" si="3">D22+D16+D26</f>
        <v>0</v>
      </c>
      <c r="E27" s="650">
        <f t="shared" ca="1" si="3"/>
        <v>357526.94776749896</v>
      </c>
      <c r="F27" s="650">
        <f t="shared" si="3"/>
        <v>8841.2569952855938</v>
      </c>
      <c r="G27" s="650">
        <f t="shared" ca="1" si="3"/>
        <v>144891.78751751719</v>
      </c>
      <c r="H27" s="650">
        <f t="shared" si="3"/>
        <v>514757.1450338334</v>
      </c>
      <c r="I27" s="650">
        <f t="shared" si="3"/>
        <v>96114.269240151843</v>
      </c>
      <c r="J27" s="650">
        <f t="shared" si="3"/>
        <v>0</v>
      </c>
      <c r="K27" s="650">
        <f t="shared" si="3"/>
        <v>2261.764796283926</v>
      </c>
      <c r="L27" s="650">
        <f t="shared" si="3"/>
        <v>0</v>
      </c>
      <c r="M27" s="650">
        <f t="shared" ca="1" si="3"/>
        <v>0</v>
      </c>
      <c r="N27" s="650">
        <f t="shared" si="3"/>
        <v>27620.831389082545</v>
      </c>
      <c r="O27" s="650">
        <f t="shared" ca="1" si="3"/>
        <v>34673.05861427178</v>
      </c>
      <c r="P27" s="650">
        <f t="shared" si="3"/>
        <v>282.96333333333337</v>
      </c>
      <c r="Q27" s="650">
        <f t="shared" si="3"/>
        <v>686.40000000000009</v>
      </c>
      <c r="R27" s="650">
        <f t="shared" ca="1" si="3"/>
        <v>1355057.3041875514</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10768.913570525174</v>
      </c>
      <c r="D40" s="640">
        <f ca="1">tertiair!C20</f>
        <v>0</v>
      </c>
      <c r="E40" s="640">
        <f ca="1">tertiair!D20</f>
        <v>15716.748560462433</v>
      </c>
      <c r="F40" s="640">
        <f>tertiair!E20</f>
        <v>71.567305005061868</v>
      </c>
      <c r="G40" s="640">
        <f ca="1">tertiair!F20</f>
        <v>1715.5010581385736</v>
      </c>
      <c r="H40" s="640">
        <f>tertiair!G20</f>
        <v>0</v>
      </c>
      <c r="I40" s="640">
        <f>tertiair!H20</f>
        <v>0</v>
      </c>
      <c r="J40" s="640">
        <f>tertiair!I20</f>
        <v>0</v>
      </c>
      <c r="K40" s="640">
        <f>tertiair!J20</f>
        <v>46.617438426328519</v>
      </c>
      <c r="L40" s="640">
        <f>tertiair!K20</f>
        <v>0</v>
      </c>
      <c r="M40" s="640">
        <f ca="1">tertiair!L20</f>
        <v>0</v>
      </c>
      <c r="N40" s="640">
        <f>tertiair!M20</f>
        <v>0</v>
      </c>
      <c r="O40" s="640">
        <f ca="1">tertiair!N20</f>
        <v>0</v>
      </c>
      <c r="P40" s="640">
        <f>tertiair!O20</f>
        <v>0</v>
      </c>
      <c r="Q40" s="717">
        <f>tertiair!P20</f>
        <v>0</v>
      </c>
      <c r="R40" s="795">
        <f t="shared" ca="1" si="4"/>
        <v>28319.347932557568</v>
      </c>
    </row>
    <row r="41" spans="1:18">
      <c r="A41" s="767" t="s">
        <v>214</v>
      </c>
      <c r="B41" s="774"/>
      <c r="C41" s="640">
        <f ca="1">huishoudens!B12</f>
        <v>15343.824818505067</v>
      </c>
      <c r="D41" s="640">
        <f ca="1">huishoudens!C12</f>
        <v>0</v>
      </c>
      <c r="E41" s="640">
        <f>huishoudens!D12</f>
        <v>42923.173829291249</v>
      </c>
      <c r="F41" s="640">
        <f>huishoudens!E12</f>
        <v>768.33709112799602</v>
      </c>
      <c r="G41" s="640">
        <f>huishoudens!F12</f>
        <v>27695.137692552194</v>
      </c>
      <c r="H41" s="640">
        <f>huishoudens!G12</f>
        <v>0</v>
      </c>
      <c r="I41" s="640">
        <f>huishoudens!H12</f>
        <v>0</v>
      </c>
      <c r="J41" s="640">
        <f>huishoudens!I12</f>
        <v>0</v>
      </c>
      <c r="K41" s="640">
        <f>huishoudens!J12</f>
        <v>695.39224631098807</v>
      </c>
      <c r="L41" s="640">
        <f>huishoudens!K12</f>
        <v>0</v>
      </c>
      <c r="M41" s="640">
        <f>huishoudens!L12</f>
        <v>0</v>
      </c>
      <c r="N41" s="640">
        <f>huishoudens!M12</f>
        <v>0</v>
      </c>
      <c r="O41" s="640">
        <f>huishoudens!N12</f>
        <v>0</v>
      </c>
      <c r="P41" s="640">
        <f>huishoudens!O12</f>
        <v>0</v>
      </c>
      <c r="Q41" s="717">
        <f>huishoudens!P12</f>
        <v>0</v>
      </c>
      <c r="R41" s="795">
        <f t="shared" ca="1" si="4"/>
        <v>87425.8656777875</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8862.9002154826831</v>
      </c>
      <c r="D43" s="640">
        <f ca="1">industrie!C22</f>
        <v>0</v>
      </c>
      <c r="E43" s="640">
        <f>industrie!D22</f>
        <v>11921.612057658049</v>
      </c>
      <c r="F43" s="640">
        <f>industrie!E22</f>
        <v>694.2718921199388</v>
      </c>
      <c r="G43" s="640">
        <f>industrie!F22</f>
        <v>8395.855177417181</v>
      </c>
      <c r="H43" s="640">
        <f>industrie!G22</f>
        <v>0</v>
      </c>
      <c r="I43" s="640">
        <f>industrie!H22</f>
        <v>0</v>
      </c>
      <c r="J43" s="640">
        <f>industrie!I22</f>
        <v>0</v>
      </c>
      <c r="K43" s="640">
        <f>industrie!J22</f>
        <v>20.806124087324605</v>
      </c>
      <c r="L43" s="640">
        <f>industrie!K22</f>
        <v>0</v>
      </c>
      <c r="M43" s="640">
        <f>industrie!L22</f>
        <v>0</v>
      </c>
      <c r="N43" s="640">
        <f>industrie!M22</f>
        <v>0</v>
      </c>
      <c r="O43" s="640">
        <f>industrie!N22</f>
        <v>0</v>
      </c>
      <c r="P43" s="640">
        <f>industrie!O22</f>
        <v>0</v>
      </c>
      <c r="Q43" s="717">
        <f>industrie!P22</f>
        <v>0</v>
      </c>
      <c r="R43" s="794">
        <f t="shared" ca="1" si="4"/>
        <v>29895.445466765177</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34975.638604512926</v>
      </c>
      <c r="D46" s="675">
        <f t="shared" ref="D46:Q46" ca="1" si="5">SUM(D39:D45)</f>
        <v>0</v>
      </c>
      <c r="E46" s="675">
        <f t="shared" ca="1" si="5"/>
        <v>70561.53444741173</v>
      </c>
      <c r="F46" s="675">
        <f t="shared" si="5"/>
        <v>1534.1762882529965</v>
      </c>
      <c r="G46" s="675">
        <f t="shared" ca="1" si="5"/>
        <v>37806.49392810795</v>
      </c>
      <c r="H46" s="675">
        <f t="shared" si="5"/>
        <v>0</v>
      </c>
      <c r="I46" s="675">
        <f t="shared" si="5"/>
        <v>0</v>
      </c>
      <c r="J46" s="675">
        <f t="shared" si="5"/>
        <v>0</v>
      </c>
      <c r="K46" s="675">
        <f t="shared" si="5"/>
        <v>762.81580882464118</v>
      </c>
      <c r="L46" s="675">
        <f t="shared" si="5"/>
        <v>0</v>
      </c>
      <c r="M46" s="675">
        <f t="shared" ca="1" si="5"/>
        <v>0</v>
      </c>
      <c r="N46" s="675">
        <f t="shared" si="5"/>
        <v>0</v>
      </c>
      <c r="O46" s="675">
        <f t="shared" ca="1" si="5"/>
        <v>0</v>
      </c>
      <c r="P46" s="675">
        <f t="shared" si="5"/>
        <v>0</v>
      </c>
      <c r="Q46" s="675">
        <f t="shared" si="5"/>
        <v>0</v>
      </c>
      <c r="R46" s="675">
        <f ca="1">SUM(R39:R45)</f>
        <v>145640.65907711023</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8.2945058852922582</v>
      </c>
      <c r="D49" s="640">
        <f ca="1">transport!C58</f>
        <v>0</v>
      </c>
      <c r="E49" s="640">
        <f>transport!D58</f>
        <v>0</v>
      </c>
      <c r="F49" s="640">
        <f>transport!E58</f>
        <v>0</v>
      </c>
      <c r="G49" s="640">
        <f>transport!F58</f>
        <v>0</v>
      </c>
      <c r="H49" s="640">
        <f>transport!G58</f>
        <v>2011.3758397818917</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2019.6703456671839</v>
      </c>
    </row>
    <row r="50" spans="1:18">
      <c r="A50" s="770" t="s">
        <v>296</v>
      </c>
      <c r="B50" s="780"/>
      <c r="C50" s="646">
        <f ca="1">transport!B18</f>
        <v>11.828862992092668</v>
      </c>
      <c r="D50" s="646">
        <f>transport!C18</f>
        <v>0</v>
      </c>
      <c r="E50" s="646">
        <f>transport!D18</f>
        <v>10.336453663871461</v>
      </c>
      <c r="F50" s="646">
        <f>transport!E18</f>
        <v>468.39502395420845</v>
      </c>
      <c r="G50" s="646">
        <f>transport!F18</f>
        <v>0</v>
      </c>
      <c r="H50" s="646">
        <f>transport!G18</f>
        <v>135428.78188425163</v>
      </c>
      <c r="I50" s="646">
        <f>transport!H18</f>
        <v>23932.453040797809</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159851.7952656596</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20.123368877384927</v>
      </c>
      <c r="D52" s="675">
        <f t="shared" ref="D52:Q52" ca="1" si="6">SUM(D48:D51)</f>
        <v>0</v>
      </c>
      <c r="E52" s="675">
        <f t="shared" si="6"/>
        <v>10.336453663871461</v>
      </c>
      <c r="F52" s="675">
        <f t="shared" si="6"/>
        <v>468.39502395420845</v>
      </c>
      <c r="G52" s="675">
        <f t="shared" si="6"/>
        <v>0</v>
      </c>
      <c r="H52" s="675">
        <f t="shared" si="6"/>
        <v>137440.15772403352</v>
      </c>
      <c r="I52" s="675">
        <f t="shared" si="6"/>
        <v>23932.453040797809</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161871.4656113268</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199.78422777260485</v>
      </c>
      <c r="D54" s="646">
        <f ca="1">+landbouw!C12</f>
        <v>0</v>
      </c>
      <c r="E54" s="646">
        <f>+landbouw!D12</f>
        <v>130.491236974104</v>
      </c>
      <c r="F54" s="646">
        <f>+landbouw!E12</f>
        <v>4.3940257226247814</v>
      </c>
      <c r="G54" s="646">
        <f>+landbouw!F12</f>
        <v>879.61333906914854</v>
      </c>
      <c r="H54" s="646">
        <f>+landbouw!G12</f>
        <v>0</v>
      </c>
      <c r="I54" s="646">
        <f>+landbouw!H12</f>
        <v>0</v>
      </c>
      <c r="J54" s="646">
        <f>+landbouw!I12</f>
        <v>0</v>
      </c>
      <c r="K54" s="646">
        <f>+landbouw!J12</f>
        <v>37.848929059868652</v>
      </c>
      <c r="L54" s="646">
        <f>+landbouw!K12</f>
        <v>0</v>
      </c>
      <c r="M54" s="646">
        <f>+landbouw!L12</f>
        <v>0</v>
      </c>
      <c r="N54" s="646">
        <f>+landbouw!M12</f>
        <v>0</v>
      </c>
      <c r="O54" s="646">
        <f>+landbouw!N12</f>
        <v>0</v>
      </c>
      <c r="P54" s="646">
        <f>+landbouw!O12</f>
        <v>0</v>
      </c>
      <c r="Q54" s="647">
        <f>+landbouw!P12</f>
        <v>0</v>
      </c>
      <c r="R54" s="674">
        <f ca="1">SUM(C54:Q54)</f>
        <v>1252.1317585983509</v>
      </c>
    </row>
    <row r="55" spans="1:18" ht="15" thickBot="1">
      <c r="A55" s="770" t="s">
        <v>806</v>
      </c>
      <c r="B55" s="780"/>
      <c r="C55" s="646">
        <f ca="1">C25*'EF ele_warmte'!B12</f>
        <v>680.78877253626877</v>
      </c>
      <c r="D55" s="646"/>
      <c r="E55" s="646">
        <f>E25*EF_CO2_aardgas</f>
        <v>1518.0813109850774</v>
      </c>
      <c r="F55" s="646"/>
      <c r="G55" s="646"/>
      <c r="H55" s="646"/>
      <c r="I55" s="646"/>
      <c r="J55" s="646"/>
      <c r="K55" s="646"/>
      <c r="L55" s="646"/>
      <c r="M55" s="646"/>
      <c r="N55" s="646"/>
      <c r="O55" s="646"/>
      <c r="P55" s="646"/>
      <c r="Q55" s="647"/>
      <c r="R55" s="674">
        <f ca="1">SUM(C55:Q55)</f>
        <v>2198.8700835213463</v>
      </c>
    </row>
    <row r="56" spans="1:18" ht="15.75" thickBot="1">
      <c r="A56" s="768" t="s">
        <v>807</v>
      </c>
      <c r="B56" s="781"/>
      <c r="C56" s="675">
        <f ca="1">SUM(C54:C55)</f>
        <v>880.57300030887359</v>
      </c>
      <c r="D56" s="675">
        <f t="shared" ref="D56:Q56" ca="1" si="7">SUM(D54:D55)</f>
        <v>0</v>
      </c>
      <c r="E56" s="675">
        <f t="shared" si="7"/>
        <v>1648.5725479591813</v>
      </c>
      <c r="F56" s="675">
        <f t="shared" si="7"/>
        <v>4.3940257226247814</v>
      </c>
      <c r="G56" s="675">
        <f t="shared" si="7"/>
        <v>879.61333906914854</v>
      </c>
      <c r="H56" s="675">
        <f t="shared" si="7"/>
        <v>0</v>
      </c>
      <c r="I56" s="675">
        <f t="shared" si="7"/>
        <v>0</v>
      </c>
      <c r="J56" s="675">
        <f t="shared" si="7"/>
        <v>0</v>
      </c>
      <c r="K56" s="675">
        <f t="shared" si="7"/>
        <v>37.848929059868652</v>
      </c>
      <c r="L56" s="675">
        <f t="shared" si="7"/>
        <v>0</v>
      </c>
      <c r="M56" s="675">
        <f t="shared" si="7"/>
        <v>0</v>
      </c>
      <c r="N56" s="675">
        <f t="shared" si="7"/>
        <v>0</v>
      </c>
      <c r="O56" s="675">
        <f t="shared" si="7"/>
        <v>0</v>
      </c>
      <c r="P56" s="675">
        <f t="shared" si="7"/>
        <v>0</v>
      </c>
      <c r="Q56" s="676">
        <f t="shared" si="7"/>
        <v>0</v>
      </c>
      <c r="R56" s="677">
        <f ca="1">SUM(R54:R55)</f>
        <v>3451.0018421196974</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35876.334973699188</v>
      </c>
      <c r="D61" s="683">
        <f t="shared" ref="D61:Q61" ca="1" si="8">D46+D52+D56</f>
        <v>0</v>
      </c>
      <c r="E61" s="683">
        <f t="shared" ca="1" si="8"/>
        <v>72220.443449034778</v>
      </c>
      <c r="F61" s="683">
        <f t="shared" si="8"/>
        <v>2006.9653379298297</v>
      </c>
      <c r="G61" s="683">
        <f t="shared" ca="1" si="8"/>
        <v>38686.107267177096</v>
      </c>
      <c r="H61" s="683">
        <f t="shared" si="8"/>
        <v>137440.15772403352</v>
      </c>
      <c r="I61" s="683">
        <f t="shared" si="8"/>
        <v>23932.453040797809</v>
      </c>
      <c r="J61" s="683">
        <f t="shared" si="8"/>
        <v>0</v>
      </c>
      <c r="K61" s="683">
        <f t="shared" si="8"/>
        <v>800.6647378845098</v>
      </c>
      <c r="L61" s="683">
        <f t="shared" si="8"/>
        <v>0</v>
      </c>
      <c r="M61" s="683">
        <f t="shared" ca="1" si="8"/>
        <v>0</v>
      </c>
      <c r="N61" s="683">
        <f t="shared" si="8"/>
        <v>0</v>
      </c>
      <c r="O61" s="683">
        <f t="shared" ca="1" si="8"/>
        <v>0</v>
      </c>
      <c r="P61" s="683">
        <f t="shared" si="8"/>
        <v>0</v>
      </c>
      <c r="Q61" s="683">
        <f t="shared" si="8"/>
        <v>0</v>
      </c>
      <c r="R61" s="683">
        <f ca="1">R46+R52+R56</f>
        <v>310963.12653055671</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0.21431389775724838</v>
      </c>
      <c r="D63" s="726">
        <f t="shared" ca="1" si="9"/>
        <v>0</v>
      </c>
      <c r="E63" s="946">
        <f t="shared" ca="1" si="9"/>
        <v>0.20199999999999996</v>
      </c>
      <c r="F63" s="726">
        <f t="shared" si="9"/>
        <v>0.22699999999999998</v>
      </c>
      <c r="G63" s="726">
        <f t="shared" ca="1" si="9"/>
        <v>0.26700000000000002</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5064.522153237579</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5064.522153237579</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71595.099426939138</v>
      </c>
      <c r="C4" s="448">
        <f>huishoudens!C8</f>
        <v>0</v>
      </c>
      <c r="D4" s="448">
        <f>huishoudens!D8</f>
        <v>212490.95955094675</v>
      </c>
      <c r="E4" s="448">
        <f>huishoudens!E8</f>
        <v>3384.744894836987</v>
      </c>
      <c r="F4" s="448">
        <f>huishoudens!F8</f>
        <v>103727.10746274229</v>
      </c>
      <c r="G4" s="448">
        <f>huishoudens!G8</f>
        <v>0</v>
      </c>
      <c r="H4" s="448">
        <f>huishoudens!H8</f>
        <v>0</v>
      </c>
      <c r="I4" s="448">
        <f>huishoudens!I8</f>
        <v>0</v>
      </c>
      <c r="J4" s="448">
        <f>huishoudens!J8</f>
        <v>1964.3848765847122</v>
      </c>
      <c r="K4" s="448">
        <f>huishoudens!K8</f>
        <v>0</v>
      </c>
      <c r="L4" s="448">
        <f>huishoudens!L8</f>
        <v>0</v>
      </c>
      <c r="M4" s="448">
        <f>huishoudens!M8</f>
        <v>0</v>
      </c>
      <c r="N4" s="448">
        <f>huishoudens!N8</f>
        <v>25628.321848920379</v>
      </c>
      <c r="O4" s="448">
        <f>huishoudens!O8</f>
        <v>281.40000000000003</v>
      </c>
      <c r="P4" s="449">
        <f>huishoudens!P8</f>
        <v>629.20000000000005</v>
      </c>
      <c r="Q4" s="450">
        <f>SUM(B4:P4)</f>
        <v>419701.21806097025</v>
      </c>
    </row>
    <row r="5" spans="1:17">
      <c r="A5" s="447" t="s">
        <v>149</v>
      </c>
      <c r="B5" s="448">
        <f ca="1">tertiair!B16</f>
        <v>48222.537192510979</v>
      </c>
      <c r="C5" s="448">
        <f ca="1">tertiair!C16</f>
        <v>0</v>
      </c>
      <c r="D5" s="448">
        <f ca="1">tertiair!D16</f>
        <v>77805.685942883327</v>
      </c>
      <c r="E5" s="448">
        <f>tertiair!E16</f>
        <v>315.27447138793775</v>
      </c>
      <c r="F5" s="448">
        <f ca="1">tertiair!F16</f>
        <v>6425.0975960246196</v>
      </c>
      <c r="G5" s="448">
        <f>tertiair!G16</f>
        <v>0</v>
      </c>
      <c r="H5" s="448">
        <f>tertiair!H16</f>
        <v>0</v>
      </c>
      <c r="I5" s="448">
        <f>tertiair!I16</f>
        <v>0</v>
      </c>
      <c r="J5" s="448">
        <f>tertiair!J16</f>
        <v>131.68767917041956</v>
      </c>
      <c r="K5" s="448">
        <f>tertiair!K16</f>
        <v>0</v>
      </c>
      <c r="L5" s="448">
        <f ca="1">tertiair!L16</f>
        <v>0</v>
      </c>
      <c r="M5" s="448">
        <f>tertiair!M16</f>
        <v>0</v>
      </c>
      <c r="N5" s="448">
        <f ca="1">tertiair!N16</f>
        <v>2915.0478238897645</v>
      </c>
      <c r="O5" s="448">
        <f>tertiair!O16</f>
        <v>1.5633333333333335</v>
      </c>
      <c r="P5" s="449">
        <f>tertiair!P16</f>
        <v>57.2</v>
      </c>
      <c r="Q5" s="447">
        <f t="shared" ref="Q5:Q14" ca="1" si="0">SUM(B5:P5)</f>
        <v>135874.0940392004</v>
      </c>
    </row>
    <row r="6" spans="1:17">
      <c r="A6" s="447" t="s">
        <v>187</v>
      </c>
      <c r="B6" s="448">
        <f>'openbare verlichting'!B8</f>
        <v>2025.7840000000001</v>
      </c>
      <c r="C6" s="448"/>
      <c r="D6" s="448"/>
      <c r="E6" s="448"/>
      <c r="F6" s="448"/>
      <c r="G6" s="448"/>
      <c r="H6" s="448"/>
      <c r="I6" s="448"/>
      <c r="J6" s="448"/>
      <c r="K6" s="448"/>
      <c r="L6" s="448"/>
      <c r="M6" s="448"/>
      <c r="N6" s="448"/>
      <c r="O6" s="448"/>
      <c r="P6" s="449"/>
      <c r="Q6" s="447">
        <f t="shared" si="0"/>
        <v>2025.7840000000001</v>
      </c>
    </row>
    <row r="7" spans="1:17">
      <c r="A7" s="447" t="s">
        <v>105</v>
      </c>
      <c r="B7" s="448">
        <f>landbouw!B8</f>
        <v>932.20379015689798</v>
      </c>
      <c r="C7" s="448">
        <f>landbouw!C8</f>
        <v>0</v>
      </c>
      <c r="D7" s="448">
        <f>landbouw!D8</f>
        <v>645.99622264407913</v>
      </c>
      <c r="E7" s="448">
        <f>landbouw!E8</f>
        <v>19.356941509360269</v>
      </c>
      <c r="F7" s="448">
        <f>landbouw!F8</f>
        <v>3294.4319815323915</v>
      </c>
      <c r="G7" s="448">
        <f>landbouw!G8</f>
        <v>0</v>
      </c>
      <c r="H7" s="448">
        <f>landbouw!H8</f>
        <v>0</v>
      </c>
      <c r="I7" s="448">
        <f>landbouw!I8</f>
        <v>0</v>
      </c>
      <c r="J7" s="448">
        <f>landbouw!J8</f>
        <v>106.91787870019394</v>
      </c>
      <c r="K7" s="448">
        <f>landbouw!K8</f>
        <v>0</v>
      </c>
      <c r="L7" s="448">
        <f>landbouw!L8</f>
        <v>0</v>
      </c>
      <c r="M7" s="448">
        <f>landbouw!M8</f>
        <v>0</v>
      </c>
      <c r="N7" s="448">
        <f>landbouw!N8</f>
        <v>0</v>
      </c>
      <c r="O7" s="448">
        <f>landbouw!O8</f>
        <v>0</v>
      </c>
      <c r="P7" s="449">
        <f>landbouw!P8</f>
        <v>0</v>
      </c>
      <c r="Q7" s="447">
        <f t="shared" si="0"/>
        <v>4998.9068145429228</v>
      </c>
    </row>
    <row r="8" spans="1:17">
      <c r="A8" s="447" t="s">
        <v>614</v>
      </c>
      <c r="B8" s="448">
        <f>industrie!B18</f>
        <v>41354.761908728935</v>
      </c>
      <c r="C8" s="448">
        <f>industrie!C18</f>
        <v>0</v>
      </c>
      <c r="D8" s="448">
        <f>industrie!D18</f>
        <v>59017.881473554691</v>
      </c>
      <c r="E8" s="448">
        <f>industrie!E18</f>
        <v>3058.4664851098623</v>
      </c>
      <c r="F8" s="448">
        <f>industrie!F18</f>
        <v>31445.150477217903</v>
      </c>
      <c r="G8" s="448">
        <f>industrie!G18</f>
        <v>0</v>
      </c>
      <c r="H8" s="448">
        <f>industrie!H18</f>
        <v>0</v>
      </c>
      <c r="I8" s="448">
        <f>industrie!I18</f>
        <v>0</v>
      </c>
      <c r="J8" s="448">
        <f>industrie!J18</f>
        <v>58.774361828600583</v>
      </c>
      <c r="K8" s="448">
        <f>industrie!K18</f>
        <v>0</v>
      </c>
      <c r="L8" s="448">
        <f>industrie!L18</f>
        <v>0</v>
      </c>
      <c r="M8" s="448">
        <f>industrie!M18</f>
        <v>0</v>
      </c>
      <c r="N8" s="448">
        <f>industrie!N18</f>
        <v>6129.6889414616362</v>
      </c>
      <c r="O8" s="448">
        <f>industrie!O18</f>
        <v>0</v>
      </c>
      <c r="P8" s="449">
        <f>industrie!P18</f>
        <v>0</v>
      </c>
      <c r="Q8" s="447">
        <f t="shared" si="0"/>
        <v>141064.72364790164</v>
      </c>
    </row>
    <row r="9" spans="1:17" s="453" customFormat="1">
      <c r="A9" s="451" t="s">
        <v>555</v>
      </c>
      <c r="B9" s="452">
        <f>transport!B14</f>
        <v>55.194101343306841</v>
      </c>
      <c r="C9" s="452">
        <f>transport!C14</f>
        <v>0</v>
      </c>
      <c r="D9" s="452">
        <f>transport!D14</f>
        <v>51.170562692432974</v>
      </c>
      <c r="E9" s="452">
        <f>transport!E14</f>
        <v>2063.4142024414468</v>
      </c>
      <c r="F9" s="452">
        <f>transport!F14</f>
        <v>0</v>
      </c>
      <c r="G9" s="452">
        <f>transport!G14</f>
        <v>507223.90218820836</v>
      </c>
      <c r="H9" s="452">
        <f>transport!H14</f>
        <v>96114.269240151843</v>
      </c>
      <c r="I9" s="452">
        <f>transport!I14</f>
        <v>0</v>
      </c>
      <c r="J9" s="452">
        <f>transport!J14</f>
        <v>0</v>
      </c>
      <c r="K9" s="452">
        <f>transport!K14</f>
        <v>0</v>
      </c>
      <c r="L9" s="452">
        <f>transport!L14</f>
        <v>0</v>
      </c>
      <c r="M9" s="452">
        <f>transport!M14</f>
        <v>27283.03444996199</v>
      </c>
      <c r="N9" s="452">
        <f>transport!N14</f>
        <v>0</v>
      </c>
      <c r="O9" s="452">
        <f>transport!O14</f>
        <v>0</v>
      </c>
      <c r="P9" s="452">
        <f>transport!P14</f>
        <v>0</v>
      </c>
      <c r="Q9" s="451">
        <f>SUM(B9:P9)</f>
        <v>632790.98474479932</v>
      </c>
    </row>
    <row r="10" spans="1:17">
      <c r="A10" s="447" t="s">
        <v>545</v>
      </c>
      <c r="B10" s="448">
        <f>transport!B54</f>
        <v>38.702603853938477</v>
      </c>
      <c r="C10" s="448">
        <f>transport!C54</f>
        <v>0</v>
      </c>
      <c r="D10" s="448">
        <f>transport!D54</f>
        <v>0</v>
      </c>
      <c r="E10" s="448">
        <f>transport!E54</f>
        <v>0</v>
      </c>
      <c r="F10" s="448">
        <f>transport!F54</f>
        <v>0</v>
      </c>
      <c r="G10" s="448">
        <f>transport!G54</f>
        <v>7533.2428456250618</v>
      </c>
      <c r="H10" s="448">
        <f>transport!H54</f>
        <v>0</v>
      </c>
      <c r="I10" s="448">
        <f>transport!I54</f>
        <v>0</v>
      </c>
      <c r="J10" s="448">
        <f>transport!J54</f>
        <v>0</v>
      </c>
      <c r="K10" s="448">
        <f>transport!K54</f>
        <v>0</v>
      </c>
      <c r="L10" s="448">
        <f>transport!L54</f>
        <v>0</v>
      </c>
      <c r="M10" s="448">
        <f>transport!M54</f>
        <v>337.7969391205537</v>
      </c>
      <c r="N10" s="448">
        <f>transport!N54</f>
        <v>0</v>
      </c>
      <c r="O10" s="448">
        <f>transport!O54</f>
        <v>0</v>
      </c>
      <c r="P10" s="449">
        <f>transport!P54</f>
        <v>0</v>
      </c>
      <c r="Q10" s="447">
        <f t="shared" si="0"/>
        <v>7909.742388599554</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3176.5964767594901</v>
      </c>
      <c r="C14" s="455"/>
      <c r="D14" s="455">
        <f>'SEAP template'!E25</f>
        <v>7515.2540147776099</v>
      </c>
      <c r="E14" s="455"/>
      <c r="F14" s="455"/>
      <c r="G14" s="455"/>
      <c r="H14" s="455"/>
      <c r="I14" s="455"/>
      <c r="J14" s="455"/>
      <c r="K14" s="455"/>
      <c r="L14" s="455"/>
      <c r="M14" s="455"/>
      <c r="N14" s="455"/>
      <c r="O14" s="455"/>
      <c r="P14" s="456"/>
      <c r="Q14" s="447">
        <f t="shared" si="0"/>
        <v>10691.8504915371</v>
      </c>
    </row>
    <row r="15" spans="1:17" s="460" customFormat="1">
      <c r="A15" s="457" t="s">
        <v>549</v>
      </c>
      <c r="B15" s="458">
        <f ca="1">SUM(B4:B14)</f>
        <v>167400.87950029271</v>
      </c>
      <c r="C15" s="458">
        <f t="shared" ref="C15:Q15" ca="1" si="1">SUM(C4:C14)</f>
        <v>0</v>
      </c>
      <c r="D15" s="458">
        <f t="shared" ca="1" si="1"/>
        <v>357526.9477674989</v>
      </c>
      <c r="E15" s="458">
        <f t="shared" si="1"/>
        <v>8841.2569952855938</v>
      </c>
      <c r="F15" s="458">
        <f t="shared" ca="1" si="1"/>
        <v>144891.78751751722</v>
      </c>
      <c r="G15" s="458">
        <f t="shared" si="1"/>
        <v>514757.1450338334</v>
      </c>
      <c r="H15" s="458">
        <f t="shared" si="1"/>
        <v>96114.269240151843</v>
      </c>
      <c r="I15" s="458">
        <f t="shared" si="1"/>
        <v>0</v>
      </c>
      <c r="J15" s="458">
        <f t="shared" si="1"/>
        <v>2261.764796283926</v>
      </c>
      <c r="K15" s="458">
        <f t="shared" si="1"/>
        <v>0</v>
      </c>
      <c r="L15" s="458">
        <f t="shared" ca="1" si="1"/>
        <v>0</v>
      </c>
      <c r="M15" s="458">
        <f t="shared" si="1"/>
        <v>27620.831389082545</v>
      </c>
      <c r="N15" s="458">
        <f t="shared" ca="1" si="1"/>
        <v>34673.05861427178</v>
      </c>
      <c r="O15" s="458">
        <f t="shared" si="1"/>
        <v>282.96333333333337</v>
      </c>
      <c r="P15" s="458">
        <f t="shared" si="1"/>
        <v>686.40000000000009</v>
      </c>
      <c r="Q15" s="458">
        <f t="shared" ca="1" si="1"/>
        <v>1355057.3041875511</v>
      </c>
    </row>
    <row r="17" spans="1:17">
      <c r="A17" s="461" t="s">
        <v>550</v>
      </c>
      <c r="B17" s="731">
        <f ca="1">huishoudens!B10</f>
        <v>0.21431389775724838</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15343.824818505067</v>
      </c>
      <c r="C22" s="448">
        <f t="shared" ref="C22:C32" ca="1" si="3">C4*$C$17</f>
        <v>0</v>
      </c>
      <c r="D22" s="448">
        <f t="shared" ref="D22:D32" si="4">D4*$D$17</f>
        <v>42923.173829291249</v>
      </c>
      <c r="E22" s="448">
        <f t="shared" ref="E22:E32" si="5">E4*$E$17</f>
        <v>768.33709112799602</v>
      </c>
      <c r="F22" s="448">
        <f t="shared" ref="F22:F32" si="6">F4*$F$17</f>
        <v>27695.137692552194</v>
      </c>
      <c r="G22" s="448">
        <f t="shared" ref="G22:G32" si="7">G4*$G$17</f>
        <v>0</v>
      </c>
      <c r="H22" s="448">
        <f t="shared" ref="H22:H32" si="8">H4*$H$17</f>
        <v>0</v>
      </c>
      <c r="I22" s="448">
        <f t="shared" ref="I22:I32" si="9">I4*$I$17</f>
        <v>0</v>
      </c>
      <c r="J22" s="448">
        <f t="shared" ref="J22:J32" si="10">J4*$J$17</f>
        <v>695.39224631098807</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87425.8656777875</v>
      </c>
    </row>
    <row r="23" spans="1:17">
      <c r="A23" s="447" t="s">
        <v>149</v>
      </c>
      <c r="B23" s="448">
        <f t="shared" ca="1" si="2"/>
        <v>10334.759905470904</v>
      </c>
      <c r="C23" s="448">
        <f t="shared" ca="1" si="3"/>
        <v>0</v>
      </c>
      <c r="D23" s="448">
        <f t="shared" ca="1" si="4"/>
        <v>15716.748560462433</v>
      </c>
      <c r="E23" s="448">
        <f t="shared" si="5"/>
        <v>71.567305005061868</v>
      </c>
      <c r="F23" s="448">
        <f t="shared" ca="1" si="6"/>
        <v>1715.5010581385736</v>
      </c>
      <c r="G23" s="448">
        <f t="shared" si="7"/>
        <v>0</v>
      </c>
      <c r="H23" s="448">
        <f t="shared" si="8"/>
        <v>0</v>
      </c>
      <c r="I23" s="448">
        <f t="shared" si="9"/>
        <v>0</v>
      </c>
      <c r="J23" s="448">
        <f t="shared" si="10"/>
        <v>46.617438426328519</v>
      </c>
      <c r="K23" s="448">
        <f t="shared" si="11"/>
        <v>0</v>
      </c>
      <c r="L23" s="448">
        <f t="shared" ca="1" si="12"/>
        <v>0</v>
      </c>
      <c r="M23" s="448">
        <f t="shared" si="13"/>
        <v>0</v>
      </c>
      <c r="N23" s="448">
        <f t="shared" ca="1" si="14"/>
        <v>0</v>
      </c>
      <c r="O23" s="448">
        <f t="shared" si="15"/>
        <v>0</v>
      </c>
      <c r="P23" s="449">
        <f t="shared" si="16"/>
        <v>0</v>
      </c>
      <c r="Q23" s="447">
        <f t="shared" ref="Q23:Q32" ca="1" si="17">SUM(B23:P23)</f>
        <v>27885.194267503299</v>
      </c>
    </row>
    <row r="24" spans="1:17">
      <c r="A24" s="447" t="s">
        <v>187</v>
      </c>
      <c r="B24" s="448">
        <f t="shared" ca="1" si="2"/>
        <v>434.15366505426965</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434.15366505426965</v>
      </c>
    </row>
    <row r="25" spans="1:17">
      <c r="A25" s="447" t="s">
        <v>105</v>
      </c>
      <c r="B25" s="448">
        <f t="shared" ca="1" si="2"/>
        <v>199.78422777260485</v>
      </c>
      <c r="C25" s="448">
        <f t="shared" ca="1" si="3"/>
        <v>0</v>
      </c>
      <c r="D25" s="448">
        <f t="shared" si="4"/>
        <v>130.491236974104</v>
      </c>
      <c r="E25" s="448">
        <f t="shared" si="5"/>
        <v>4.3940257226247814</v>
      </c>
      <c r="F25" s="448">
        <f t="shared" si="6"/>
        <v>879.61333906914854</v>
      </c>
      <c r="G25" s="448">
        <f t="shared" si="7"/>
        <v>0</v>
      </c>
      <c r="H25" s="448">
        <f t="shared" si="8"/>
        <v>0</v>
      </c>
      <c r="I25" s="448">
        <f t="shared" si="9"/>
        <v>0</v>
      </c>
      <c r="J25" s="448">
        <f t="shared" si="10"/>
        <v>37.848929059868652</v>
      </c>
      <c r="K25" s="448">
        <f t="shared" si="11"/>
        <v>0</v>
      </c>
      <c r="L25" s="448">
        <f t="shared" si="12"/>
        <v>0</v>
      </c>
      <c r="M25" s="448">
        <f t="shared" si="13"/>
        <v>0</v>
      </c>
      <c r="N25" s="448">
        <f t="shared" si="14"/>
        <v>0</v>
      </c>
      <c r="O25" s="448">
        <f t="shared" si="15"/>
        <v>0</v>
      </c>
      <c r="P25" s="449">
        <f t="shared" si="16"/>
        <v>0</v>
      </c>
      <c r="Q25" s="447">
        <f t="shared" ca="1" si="17"/>
        <v>1252.1317585983509</v>
      </c>
    </row>
    <row r="26" spans="1:17">
      <c r="A26" s="447" t="s">
        <v>614</v>
      </c>
      <c r="B26" s="448">
        <f t="shared" ca="1" si="2"/>
        <v>8862.9002154826831</v>
      </c>
      <c r="C26" s="448">
        <f t="shared" ca="1" si="3"/>
        <v>0</v>
      </c>
      <c r="D26" s="448">
        <f t="shared" si="4"/>
        <v>11921.612057658049</v>
      </c>
      <c r="E26" s="448">
        <f t="shared" si="5"/>
        <v>694.2718921199388</v>
      </c>
      <c r="F26" s="448">
        <f t="shared" si="6"/>
        <v>8395.855177417181</v>
      </c>
      <c r="G26" s="448">
        <f t="shared" si="7"/>
        <v>0</v>
      </c>
      <c r="H26" s="448">
        <f t="shared" si="8"/>
        <v>0</v>
      </c>
      <c r="I26" s="448">
        <f t="shared" si="9"/>
        <v>0</v>
      </c>
      <c r="J26" s="448">
        <f t="shared" si="10"/>
        <v>20.806124087324605</v>
      </c>
      <c r="K26" s="448">
        <f t="shared" si="11"/>
        <v>0</v>
      </c>
      <c r="L26" s="448">
        <f t="shared" si="12"/>
        <v>0</v>
      </c>
      <c r="M26" s="448">
        <f t="shared" si="13"/>
        <v>0</v>
      </c>
      <c r="N26" s="448">
        <f t="shared" si="14"/>
        <v>0</v>
      </c>
      <c r="O26" s="448">
        <f t="shared" si="15"/>
        <v>0</v>
      </c>
      <c r="P26" s="449">
        <f t="shared" si="16"/>
        <v>0</v>
      </c>
      <c r="Q26" s="447">
        <f t="shared" ca="1" si="17"/>
        <v>29895.445466765177</v>
      </c>
    </row>
    <row r="27" spans="1:17" s="453" customFormat="1">
      <c r="A27" s="451" t="s">
        <v>555</v>
      </c>
      <c r="B27" s="725">
        <f t="shared" ca="1" si="2"/>
        <v>11.828862992092668</v>
      </c>
      <c r="C27" s="452">
        <f t="shared" ca="1" si="3"/>
        <v>0</v>
      </c>
      <c r="D27" s="452">
        <f t="shared" si="4"/>
        <v>10.336453663871461</v>
      </c>
      <c r="E27" s="452">
        <f t="shared" si="5"/>
        <v>468.39502395420845</v>
      </c>
      <c r="F27" s="452">
        <f t="shared" si="6"/>
        <v>0</v>
      </c>
      <c r="G27" s="452">
        <f t="shared" si="7"/>
        <v>135428.78188425163</v>
      </c>
      <c r="H27" s="452">
        <f t="shared" si="8"/>
        <v>23932.453040797809</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159851.7952656596</v>
      </c>
    </row>
    <row r="28" spans="1:17">
      <c r="A28" s="447" t="s">
        <v>545</v>
      </c>
      <c r="B28" s="448">
        <f t="shared" ca="1" si="2"/>
        <v>8.2945058852922582</v>
      </c>
      <c r="C28" s="448">
        <f t="shared" ca="1" si="3"/>
        <v>0</v>
      </c>
      <c r="D28" s="448">
        <f t="shared" si="4"/>
        <v>0</v>
      </c>
      <c r="E28" s="448">
        <f t="shared" si="5"/>
        <v>0</v>
      </c>
      <c r="F28" s="448">
        <f t="shared" si="6"/>
        <v>0</v>
      </c>
      <c r="G28" s="448">
        <f t="shared" si="7"/>
        <v>2011.3758397818917</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2019.6703456671839</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680.78877253626877</v>
      </c>
      <c r="C32" s="448">
        <f t="shared" ca="1" si="3"/>
        <v>0</v>
      </c>
      <c r="D32" s="448">
        <f t="shared" si="4"/>
        <v>1518.0813109850774</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2198.8700835213463</v>
      </c>
    </row>
    <row r="33" spans="1:17" s="460" customFormat="1">
      <c r="A33" s="457" t="s">
        <v>549</v>
      </c>
      <c r="B33" s="458">
        <f ca="1">SUM(B22:B32)</f>
        <v>35876.33497369918</v>
      </c>
      <c r="C33" s="458">
        <f t="shared" ref="C33:Q33" ca="1" si="18">SUM(C22:C32)</f>
        <v>0</v>
      </c>
      <c r="D33" s="458">
        <f t="shared" ca="1" si="18"/>
        <v>72220.443449034778</v>
      </c>
      <c r="E33" s="458">
        <f t="shared" si="18"/>
        <v>2006.96533792983</v>
      </c>
      <c r="F33" s="458">
        <f t="shared" ca="1" si="18"/>
        <v>38686.107267177096</v>
      </c>
      <c r="G33" s="458">
        <f t="shared" si="18"/>
        <v>137440.15772403352</v>
      </c>
      <c r="H33" s="458">
        <f t="shared" si="18"/>
        <v>23932.453040797809</v>
      </c>
      <c r="I33" s="458">
        <f t="shared" si="18"/>
        <v>0</v>
      </c>
      <c r="J33" s="458">
        <f t="shared" si="18"/>
        <v>800.6647378845098</v>
      </c>
      <c r="K33" s="458">
        <f t="shared" si="18"/>
        <v>0</v>
      </c>
      <c r="L33" s="458">
        <f t="shared" ca="1" si="18"/>
        <v>0</v>
      </c>
      <c r="M33" s="458">
        <f t="shared" si="18"/>
        <v>0</v>
      </c>
      <c r="N33" s="458">
        <f t="shared" ca="1" si="18"/>
        <v>0</v>
      </c>
      <c r="O33" s="458">
        <f t="shared" si="18"/>
        <v>0</v>
      </c>
      <c r="P33" s="458">
        <f t="shared" si="18"/>
        <v>0</v>
      </c>
      <c r="Q33" s="458">
        <f t="shared" ca="1" si="18"/>
        <v>310963.12653055671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5064.522153237579</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5064.522153237579</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0.21431389775724838</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0.21431389775724838</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2022-07-26T11:55:35Z</dcterms:modified>
</cp:coreProperties>
</file>