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F706200-2509-4D8C-A657-DE1D578F36D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<sst xmlns="http://schemas.openxmlformats.org/spreadsheetml/2006/main" count="2451" uniqueCount="914">
  <si>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</si>
  <si>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</si>
  <si>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</si>
  <si>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</si>
  <si>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</si>
  <si>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</si>
  <si>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</si>
  <si>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</si>
  <si>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</si>
  <si>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</si>
  <si>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</si>
  <si>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</si>
  <si>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</si>
  <si>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</si>
  <si>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</si>
  <si>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</si>
  <si>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</si>
  <si>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</si>
  <si>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</si>
  <si>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</si>
  <si>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</si>
  <si>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</si>
  <si>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</si>
  <si>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</si>
  <si>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</si>
  <si>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</si>
  <si>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</si>
  <si>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</si>
  <si>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</si>
  <si>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</si>
  <si>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</si>
  <si>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</si>
  <si>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</si>
  <si>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</si>
  <si>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</si>
  <si>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</si>
  <si>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</si>
  <si>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</si>
  <si>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</si>
  <si>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</si>
  <si>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</si>
  <si>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</si>
  <si>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</si>
  <si>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</si>
  <si>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</si>
  <si>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</si>
  <si>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</si>
  <si>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</si>
  <si>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</si>
  <si>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</si>
  <si>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</si>
  <si>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</si>
  <si>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</si>
  <si>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</si>
  <si>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</si>
  <si>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</si>
  <si>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</si>
  <si>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</si>
  <si>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</si>
  <si>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</si>
  <si>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</si>
  <si>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</si>
  <si>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</si>
  <si>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</si>
  <si>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</si>
  <si>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</si>
  <si>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</si>
  <si>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</si>
  <si>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</si>
  <si>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</si>
  <si>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</si>
  <si>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</si>
  <si>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</si>
  <si>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</si>
  <si>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</si>
  <si>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</si>
  <si>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</si>
  <si>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</si>
  <si>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</si>
  <si>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</si>
  <si>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</si>
  <si>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</si>
  <si>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</si>
  <si>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</si>
  <si>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</si>
  <si>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</si>
  <si>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</si>
  <si>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</si>
  <si>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</si>
  <si>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</si>
  <si>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</si>
  <si>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</si>
  <si>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</si>
  <si>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</si>
  <si>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</si>
  <si>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</si>
  <si>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</si>
  <si>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</si>
  <si>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</si>
  <si>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</si>
  <si>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</si>
  <si>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</si>
  <si>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</si>
  <si>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</si>
  <si>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</si>
  <si>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</si>
  <si>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</si>
  <si>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</si>
  <si>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</si>
  <si>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</si>
  <si>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</si>
  <si>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</si>
  <si>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</si>
  <si>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</si>
  <si>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</si>
  <si>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</si>
  <si>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</si>
  <si>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</si>
  <si>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</si>
  <si>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</si>
  <si>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</si>
  <si>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</si>
  <si>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</si>
  <si>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</si>
  <si>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</si>
  <si>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</si>
  <si>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</si>
  <si>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</si>
  <si>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</si>
  <si>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</si>
  <si>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</si>
  <si>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</si>
  <si>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</si>
  <si>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</si>
  <si>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</si>
  <si>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</si>
  <si>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</si>
  <si>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</si>
  <si>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</si>
  <si>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</si>
  <si>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</si>
  <si>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</si>
  <si>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</si>
  <si>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</si>
  <si>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</si>
  <si>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</si>
  <si>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</si>
  <si>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</si>
  <si>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</si>
  <si>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</si>
  <si>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</si>
  <si>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</si>
  <si>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</si>
  <si>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</si>
  <si>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</si>
  <si>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</si>
  <si>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</si>
  <si>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</si>
  <si>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</si>
  <si>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</si>
  <si>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</si>
  <si>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</si>
  <si>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</si>
  <si>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</si>
  <si>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</si>
  <si>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</si>
  <si>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</si>
  <si>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</si>
  <si>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</si>
  <si>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</si>
  <si>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</si>
  <si>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</si>
  <si>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</si>
  <si>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</si>
  <si>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</si>
  <si>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</si>
  <si>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</si>
  <si>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</si>
  <si>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</si>
  <si>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</si>
  <si>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</si>
  <si>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</si>
  <si>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</si>
  <si>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</si>
  <si>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</si>
  <si>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</si>
  <si>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</si>
  <si>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</si>
  <si>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</si>
  <si>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</si>
  <si>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</si>
  <si>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</si>
  <si>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</si>
  <si>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</si>
  <si>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</si>
  <si>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</si>
  <si>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</si>
  <si>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</si>
  <si>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</si>
  <si>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</si>
  <si>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</si>
  <si>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</si>
  <si>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</si>
  <si>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</si>
  <si>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</si>
  <si>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</si>
  <si>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</si>
  <si>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</si>
  <si>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</si>
  <si>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</si>
  <si>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</si>
  <si>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</si>
  <si>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</si>
  <si>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</si>
  <si>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</si>
  <si>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</si>
  <si>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</si>
  <si>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</si>
  <si>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</si>
  <si>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</si>
  <si>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</si>
  <si>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</si>
  <si>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</si>
  <si>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</si>
  <si>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</si>
  <si>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</si>
  <si>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</si>
  <si>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</si>
  <si>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</si>
  <si>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</si>
  <si>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</si>
  <si>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</si>
  <si>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</si>
  <si>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</si>
  <si>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</si>
  <si>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</si>
  <si>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</si>
  <si>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</si>
  <si>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</si>
  <si>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</si>
  <si>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</si>
  <si>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</si>
  <si>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</si>
  <si>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</si>
  <si>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</si>
  <si>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</si>
  <si>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</si>
  <si>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</si>
  <si>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</si>
  <si>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</si>
  <si>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</si>
  <si>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</si>
  <si>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</si>
  <si>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</si>
  <si>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</si>
  <si>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</si>
  <si>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</si>
  <si>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</si>
  <si>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</si>
  <si>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</si>
  <si>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</si>
  <si>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</si>
  <si>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</si>
  <si>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</si>
  <si>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</si>
  <si>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</si>
  <si>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</si>
  <si>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</si>
  <si>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</si>
  <si>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</si>
  <si>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</si>
  <si>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</si>
  <si>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</si>
  <si>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</si>
  <si>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</si>
  <si>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</si>
  <si>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</si>
  <si>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</si>
  <si>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</si>
  <si>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</si>
  <si>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</si>
  <si>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</si>
  <si>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</si>
  <si>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</si>
  <si>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</si>
  <si>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</si>
  <si>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</si>
  <si>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</si>
  <si>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</si>
  <si>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</si>
  <si>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</si>
  <si>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</si>
  <si>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</si>
  <si>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</si>
  <si>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</si>
  <si>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</si>
  <si>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</si>
  <si>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</si>
  <si>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</si>
  <si>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</si>
  <si>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</si>
  <si>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</si>
  <si>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</si>
  <si>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</si>
  <si>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</si>
  <si>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</si>
  <si>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</si>
  <si>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</si>
  <si>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</si>
  <si>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</si>
  <si>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</si>
  <si>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</si>
  <si>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</si>
  <si>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</si>
  <si>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</si>
  <si>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</si>
  <si>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</si>
  <si>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</si>
  <si>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</si>
  <si>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</si>
  <si>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</si>
  <si>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</si>
  <si>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</si>
  <si>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</si>
  <si>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</si>
  <si>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</si>
  <si>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</si>
  <si>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</si>
  <si>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</si>
  <si>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</si>
  <si>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</si>
  <si>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</si>
  <si>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</si>
  <si>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</si>
  <si>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</si>
  <si>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</si>
  <si>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</si>
  <si>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</si>
  <si>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</si>
  <si>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</si>
  <si>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</si>
  <si>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</si>
  <si>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</si>
  <si>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</si>
  <si>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</si>
  <si>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</si>
  <si>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</si>
  <si>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</si>
  <si>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</si>
  <si>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</si>
  <si>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</si>
  <si>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</si>
  <si>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</si>
  <si>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</si>
  <si>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</si>
  <si>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</si>
  <si>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</si>
  <si>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</si>
  <si>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</si>
  <si>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</si>
  <si>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</si>
  <si>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</si>
  <si>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</si>
  <si>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</si>
  <si>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</si>
  <si>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</si>
  <si>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</si>
  <si>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</si>
  <si>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</si>
  <si>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</si>
  <si>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</si>
  <si>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</si>
  <si>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</si>
  <si>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</si>
  <si>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</si>
  <si>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</si>
  <si>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</si>
  <si>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</si>
  <si>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</si>
  <si>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</si>
  <si>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</si>
  <si>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</si>
  <si>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</si>
  <si>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</si>
  <si>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</si>
  <si>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</si>
  <si>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</si>
  <si>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</si>
  <si>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</si>
  <si>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</si>
  <si>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</si>
  <si>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</si>
  <si>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</si>
  <si>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</si>
  <si>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</si>
  <si>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</si>
  <si>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</si>
  <si>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</si>
  <si>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</si>
  <si>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</si>
  <si>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</si>
  <si>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</si>
  <si>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</si>
  <si>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</si>
  <si>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</si>
  <si>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</si>
  <si>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</si>
  <si>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</si>
  <si>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</si>
  <si>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</si>
  <si>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</si>
  <si>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</si>
  <si>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</si>
  <si>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</si>
  <si>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</si>
  <si>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</si>
  <si>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</si>
  <si>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</si>
  <si>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</si>
  <si>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</si>
  <si>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</si>
  <si>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</si>
  <si>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</si>
  <si>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</si>
  <si>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</si>
  <si>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</si>
  <si>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</si>
  <si>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</si>
  <si>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</si>
  <si>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</si>
  <si>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</si>
  <si>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</si>
  <si>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</si>
  <si>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</si>
  <si>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</si>
  <si>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</si>
  <si>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</si>
  <si>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</si>
  <si>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</si>
  <si>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</si>
  <si>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</si>
  <si>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</si>
  <si>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</si>
  <si>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</si>
  <si>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</si>
  <si>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</si>
  <si>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</si>
  <si>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</si>
  <si>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</si>
  <si>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</si>
  <si>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</si>
  <si>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</si>
  <si>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</si>
  <si>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</si>
  <si>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</si>
  <si>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</si>
  <si>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</si>
  <si>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</si>
  <si>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</si>
  <si>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</si>
  <si>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</si>
  <si>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</si>
  <si>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</si>
  <si>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</si>
  <si>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</si>
  <si>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</si>
  <si>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</si>
  <si>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</si>
  <si>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</si>
  <si>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</si>
  <si>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</si>
  <si>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</si>
  <si>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</si>
  <si>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</si>
  <si>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</si>
  <si>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</si>
  <si>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</si>
  <si>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</si>
  <si>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</si>
  <si>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</si>
  <si>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</si>
  <si>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</si>
  <si>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</si>
  <si>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</si>
  <si>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</si>
  <si>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</si>
  <si>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</si>
  <si>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</si>
  <si>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</si>
  <si>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</si>
  <si>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</si>
  <si>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</si>
  <si>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</si>
  <si>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</si>
  <si>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</si>
  <si>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</si>
  <si>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</si>
  <si>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</si>
  <si>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</si>
  <si>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</si>
  <si>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</si>
  <si>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</si>
  <si>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</si>
  <si>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</si>
  <si>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</si>
  <si>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</si>
  <si>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</si>
  <si>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</si>
  <si>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</si>
  <si>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</si>
  <si>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</si>
  <si>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</si>
  <si>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</si>
  <si>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</si>
  <si>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</si>
  <si>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</si>
  <si>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</si>
  <si>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</si>
  <si>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</si>
  <si>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</si>
  <si>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</si>
  <si>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</si>
  <si>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</si>
  <si>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</si>
  <si>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</si>
  <si>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</si>
  <si>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</si>
  <si>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</si>
  <si>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</si>
  <si>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</si>
  <si>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</si>
  <si>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</si>
  <si>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</si>
  <si>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</si>
  <si>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</si>
  <si>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</si>
  <si>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</si>
  <si>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</si>
  <si>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</si>
  <si>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</si>
  <si>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</si>
  <si>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</si>
  <si>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</si>
  <si>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</si>
  <si>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</si>
  <si>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</si>
  <si>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</si>
  <si>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</si>
  <si>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</si>
  <si>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</si>
  <si>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</si>
  <si>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</si>
  <si>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</si>
  <si>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</si>
  <si>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</si>
  <si>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</si>
  <si>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</si>
  <si>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</si>
  <si>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</si>
  <si>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</si>
  <si>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</si>
  <si>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</si>
  <si>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</si>
  <si>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</si>
  <si>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</si>
  <si>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</si>
  <si>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</si>
  <si>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</si>
  <si>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</si>
  <si>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</si>
  <si>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</si>
  <si>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</si>
  <si>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</si>
  <si>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</si>
  <si>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</si>
  <si>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</si>
  <si>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</si>
  <si>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</si>
  <si>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</si>
  <si>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</si>
  <si>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</si>
  <si>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</si>
  <si>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</si>
  <si>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</si>
  <si>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</si>
  <si>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</si>
  <si>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</si>
  <si>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</si>
  <si>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</si>
  <si>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</si>
  <si>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</si>
  <si>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</si>
  <si>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</si>
  <si>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</si>
  <si>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</si>
  <si>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</si>
  <si>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</si>
  <si>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</si>
  <si>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</si>
  <si>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</si>
  <si>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</si>
  <si>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</si>
  <si>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</si>
  <si>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</si>
  <si>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</si>
  <si>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</si>
  <si>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</si>
  <si>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</si>
  <si>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</si>
  <si>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</si>
  <si>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</si>
  <si>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</si>
  <si>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</si>
  <si>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</si>
  <si>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</si>
  <si>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</si>
  <si>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</si>
  <si>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</si>
  <si>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</si>
  <si>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</si>
  <si>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</si>
  <si>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</si>
  <si>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</si>
  <si>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</si>
  <si>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</si>
  <si>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</si>
  <si>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</si>
  <si>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</si>
  <si>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</si>
  <si>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</si>
  <si>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</si>
  <si>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</si>
  <si>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</si>
  <si>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</si>
  <si>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</si>
  <si>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</si>
  <si>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</si>
  <si>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</si>
  <si>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</si>
  <si>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</si>
  <si>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</si>
  <si>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</si>
  <si>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</si>
  <si>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</si>
  <si>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</si>
  <si>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</si>
  <si>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</si>
  <si>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</si>
  <si>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</si>
  <si>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</si>
  <si>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</si>
  <si>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</si>
  <si>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</si>
  <si>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</si>
  <si>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</si>
  <si>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</si>
  <si>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</si>
  <si>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</si>
  <si>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</si>
  <si>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</si>
  <si>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</si>
  <si>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</si>
  <si>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</si>
  <si>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</si>
  <si>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</si>
  <si>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</si>
  <si>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</si>
  <si>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</si>
  <si>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</si>
  <si>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</si>
  <si>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</si>
  <si>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</si>
  <si>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</si>
  <si>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</si>
  <si>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</si>
  <si>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</si>
  <si>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</si>
  <si>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</si>
  <si>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</si>
  <si>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</si>
  <si>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</si>
  <si>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</si>
  <si>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</si>
  <si>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</si>
  <si>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</si>
  <si>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</si>
  <si>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</si>
  <si>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</si>
  <si>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</si>
  <si>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</si>
  <si>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</si>
  <si>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</si>
  <si>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</si>
  <si>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</si>
  <si>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</si>
  <si>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</si>
  <si>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</si>
  <si>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</si>
  <si>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</si>
  <si>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</si>
  <si>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</si>
  <si>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</si>
  <si>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</si>
  <si>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</si>
  <si>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</si>
  <si>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</si>
  <si>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</si>
  <si>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</si>
  <si>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</si>
  <si>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</si>
  <si>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</si>
  <si>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</si>
  <si>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</si>
  <si>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</si>
  <si>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</si>
  <si>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</si>
  <si>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</si>
  <si>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</si>
  <si>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</si>
  <si>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</si>
  <si>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</si>
  <si>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</si>
  <si>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</si>
  <si>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</si>
  <si>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</si>
  <si>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</si>
  <si>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</si>
  <si>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</si>
  <si>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</si>
  <si>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</si>
  <si>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</si>
  <si>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</si>
  <si>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</si>
  <si>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</si>
  <si>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</si>
  <si>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</si>
  <si>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</si>
  <si>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</si>
  <si>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</si>
  <si>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</si>
  <si>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</si>
  <si>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</si>
  <si>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</si>
  <si>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</si>
  <si>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</si>
  <si>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</si>
  <si>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</si>
  <si>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</si>
  <si>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</si>
  <si>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</si>
  <si>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</si>
  <si>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</si>
  <si>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</si>
  <si>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</si>
  <si>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</si>
  <si>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</si>
  <si>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</si>
  <si>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</si>
  <si>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</si>
  <si>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</si>
  <si>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</si>
  <si>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</si>
  <si>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</si>
  <si>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</si>
  <si>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</si>
  <si>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</si>
  <si>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</si>
  <si>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</si>
  <si>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</si>
  <si>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</si>
  <si>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</si>
  <si>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</si>
  <si>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</si>
  <si>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</si>
  <si>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</si>
  <si>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</si>
  <si>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</si>
  <si>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</si>
  <si>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</si>
  <si>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</si>
  <si>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</si>
  <si>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</si>
  <si>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</si>
  <si>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</si>
  <si>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</si>
  <si>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</si>
  <si>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</si>
  <si>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</si>
  <si>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</si>
  <si>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</si>
  <si>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</si>
  <si>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</si>
  <si>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</si>
  <si>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</si>
  <si>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</si>
  <si>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</si>
  <si>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</si>
  <si>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</si>
  <si>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</si>
  <si>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</si>
  <si>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</si>
  <si>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</si>
  <si>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</si>
  <si>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</si>
  <si>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</si>
  <si>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</si>
  <si>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</si>
  <si>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</si>
  <si>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</si>
  <si>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</si>
  <si>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</si>
  <si>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</si>
  <si>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</si>
  <si>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</si>
  <si>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</si>
  <si>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</si>
  <si>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</si>
  <si>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</si>
  <si>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</si>
  <si>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</si>
  <si>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</si>
  <si>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</si>
  <si>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</si>
  <si>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</si>
  <si>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</si>
  <si>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</si>
  <si>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</si>
  <si>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</si>
  <si>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</si>
  <si>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</si>
  <si>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</si>
  <si>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</si>
  <si>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</si>
  <si>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</si>
  <si>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</si>
  <si>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</si>
  <si>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</si>
  <si>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</si>
  <si>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</si>
  <si>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</si>
  <si>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</si>
  <si>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</si>
  <si>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</si>
  <si>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</si>
  <si>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</si>
  <si>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</si>
  <si>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</si>
  <si>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</si>
  <si>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</si>
  <si>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</si>
  <si>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</si>
  <si>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</si>
  <si>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</si>
  <si>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</si>
  <si>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</si>
  <si>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</si>
  <si>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</si>
  <si>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</si>
  <si>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</si>
  <si>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</si>
  <si>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</si>
  <si>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</si>
  <si>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</si>
  <si>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</si>
  <si>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</si>
  <si>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</si>
  <si>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</si>
  <si>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</si>
  <si>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</si>
  <si>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</si>
  <si>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</si>
  <si>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</si>
  <si>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</si>
  <si>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</si>
  <si>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</si>
  <si>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</si>
  <si>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</si>
  <si>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</si>
  <si>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</si>
  <si>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</si>
  <si>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</si>
  <si>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</si>
  <si>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</si>
  <si>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</si>
  <si>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</si>
  <si>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</si>
  <si>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</si>
  <si>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</si>
  <si>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</si>
  <si>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</si>
  <si>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</si>
  <si>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</si>
  <si>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</si>
  <si>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</si>
  <si>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</si>
  <si>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</si>
  <si>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</si>
  <si>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</si>
  <si>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</si>
  <si>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</si>
  <si>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</si>
  <si>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</si>
  <si>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13049</t>
  </si>
  <si>
    <t>WESTERLO</t>
  </si>
  <si>
    <t>Cultuurgrond (ha)</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</si>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</sst>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DA0A57A-1C85-476C-B04B-EFBCB0AF35D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240467.30722082374</c:v>
                </c:pt>
                <c:pt idx="1">
                  <c:v>84844.989179071868</c:v>
                </c:pt>
                <c:pt idx="2">
                  <c:v>2118.761</c:v>
                </c:pt>
                <c:pt idx="3">
                  <c:v>23181.204920411787</c:v>
                </c:pt>
                <c:pt idx="4">
                  <c:v>254905.70602246205</c:v>
                </c:pt>
                <c:pt idx="5">
                  <c:v>199225.24122341551</c:v>
                </c:pt>
                <c:pt idx="6">
                  <c:v>1957.7431886941115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240467.30722082374</c:v>
                </c:pt>
                <c:pt idx="1">
                  <c:v>84844.989179071868</c:v>
                </c:pt>
                <c:pt idx="2">
                  <c:v>2118.761</c:v>
                </c:pt>
                <c:pt idx="3">
                  <c:v>23181.204920411787</c:v>
                </c:pt>
                <c:pt idx="4">
                  <c:v>254905.70602246205</c:v>
                </c:pt>
                <c:pt idx="5">
                  <c:v>199225.24122341551</c:v>
                </c:pt>
                <c:pt idx="6">
                  <c:v>1957.7431886941115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50221.05244780489</c:v>
                </c:pt>
                <c:pt idx="2">
                  <c:v>17636.64823171281</c:v>
                </c:pt>
                <c:pt idx="3">
                  <c:v>440.2863488434005</c:v>
                </c:pt>
                <c:pt idx="4">
                  <c:v>5800.8805454703206</c:v>
                </c:pt>
                <c:pt idx="5">
                  <c:v>52966.973338362841</c:v>
                </c:pt>
                <c:pt idx="6">
                  <c:v>50372.753337086026</c:v>
                </c:pt>
                <c:pt idx="7">
                  <c:v>499.82697177052489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50221.05244780489</c:v>
                </c:pt>
                <c:pt idx="2">
                  <c:v>17636.64823171281</c:v>
                </c:pt>
                <c:pt idx="3">
                  <c:v>440.2863488434005</c:v>
                </c:pt>
                <c:pt idx="4">
                  <c:v>5800.8805454703206</c:v>
                </c:pt>
                <c:pt idx="5">
                  <c:v>52966.973338362841</c:v>
                </c:pt>
                <c:pt idx="6">
                  <c:v>50372.753337086026</c:v>
                </c:pt>
                <c:pt idx="7">
                  <c:v>499.82697177052489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13049</v>
      </c>
      <c r="B6" s="385"/>
      <c r="C6" s="386"/>
    </row>
    <row r="7" spans="1:7" s="383" customFormat="1" ht="15.75" customHeight="1">
      <c r="A7" s="387" t="str">
        <f>txtMunicipality</f>
        <v>WESTERLO</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0.20780368755296161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0.20780368755296161</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10022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2225</v>
      </c>
      <c r="C14" s="327"/>
      <c r="D14" s="327"/>
      <c r="E14" s="327"/>
      <c r="F14" s="327"/>
    </row>
    <row r="15" spans="1:6">
      <c r="A15" s="1258" t="s">
        <v>177</v>
      </c>
      <c r="B15" s="1259">
        <v>3113</v>
      </c>
      <c r="C15" s="327"/>
      <c r="D15" s="327"/>
      <c r="E15" s="327"/>
      <c r="F15" s="327"/>
    </row>
    <row r="16" spans="1:6">
      <c r="A16" s="1258" t="s">
        <v>6</v>
      </c>
      <c r="B16" s="1259">
        <v>1483</v>
      </c>
      <c r="C16" s="327"/>
      <c r="D16" s="327"/>
      <c r="E16" s="327"/>
      <c r="F16" s="327"/>
    </row>
    <row r="17" spans="1:6">
      <c r="A17" s="1258" t="s">
        <v>7</v>
      </c>
      <c r="B17" s="1259">
        <v>174</v>
      </c>
      <c r="C17" s="327"/>
      <c r="D17" s="327"/>
      <c r="E17" s="327"/>
      <c r="F17" s="327"/>
    </row>
    <row r="18" spans="1:6">
      <c r="A18" s="1258" t="s">
        <v>8</v>
      </c>
      <c r="B18" s="1259">
        <v>896</v>
      </c>
      <c r="C18" s="327"/>
      <c r="D18" s="327"/>
      <c r="E18" s="327"/>
      <c r="F18" s="327"/>
    </row>
    <row r="19" spans="1:6">
      <c r="A19" s="1258" t="s">
        <v>9</v>
      </c>
      <c r="B19" s="1259">
        <v>898</v>
      </c>
      <c r="C19" s="327"/>
      <c r="D19" s="327"/>
      <c r="E19" s="327"/>
      <c r="F19" s="327"/>
    </row>
    <row r="20" spans="1:6">
      <c r="A20" s="1258" t="s">
        <v>10</v>
      </c>
      <c r="B20" s="1259">
        <v>917</v>
      </c>
      <c r="C20" s="327"/>
      <c r="D20" s="327"/>
      <c r="E20" s="327"/>
      <c r="F20" s="327"/>
    </row>
    <row r="21" spans="1:6">
      <c r="A21" s="1258" t="s">
        <v>11</v>
      </c>
      <c r="B21" s="1259">
        <v>1615</v>
      </c>
      <c r="C21" s="327"/>
      <c r="D21" s="327"/>
      <c r="E21" s="327"/>
      <c r="F21" s="327"/>
    </row>
    <row r="22" spans="1:6">
      <c r="A22" s="1258" t="s">
        <v>12</v>
      </c>
      <c r="B22" s="1259">
        <v>3063</v>
      </c>
      <c r="C22" s="327"/>
      <c r="D22" s="327"/>
      <c r="E22" s="327"/>
      <c r="F22" s="327"/>
    </row>
    <row r="23" spans="1:6">
      <c r="A23" s="1258" t="s">
        <v>13</v>
      </c>
      <c r="B23" s="1259">
        <v>42</v>
      </c>
      <c r="C23" s="327"/>
      <c r="D23" s="327"/>
      <c r="E23" s="327"/>
      <c r="F23" s="327"/>
    </row>
    <row r="24" spans="1:6">
      <c r="A24" s="1258" t="s">
        <v>14</v>
      </c>
      <c r="B24" s="1259">
        <v>0</v>
      </c>
      <c r="C24" s="327"/>
      <c r="D24" s="327"/>
      <c r="E24" s="327"/>
      <c r="F24" s="327"/>
    </row>
    <row r="25" spans="1:6">
      <c r="A25" s="1258" t="s">
        <v>15</v>
      </c>
      <c r="B25" s="1259">
        <v>336</v>
      </c>
      <c r="C25" s="327"/>
      <c r="D25" s="327"/>
      <c r="E25" s="327"/>
      <c r="F25" s="327"/>
    </row>
    <row r="26" spans="1:6">
      <c r="A26" s="1258" t="s">
        <v>16</v>
      </c>
      <c r="B26" s="1259">
        <v>122</v>
      </c>
      <c r="C26" s="327"/>
      <c r="D26" s="327"/>
      <c r="E26" s="327"/>
      <c r="F26" s="327"/>
    </row>
    <row r="27" spans="1:6">
      <c r="A27" s="1258" t="s">
        <v>17</v>
      </c>
      <c r="B27" s="1259">
        <v>4</v>
      </c>
      <c r="C27" s="327"/>
      <c r="D27" s="327"/>
      <c r="E27" s="327"/>
      <c r="F27" s="327"/>
    </row>
    <row r="28" spans="1:6">
      <c r="A28" s="1258" t="s">
        <v>18</v>
      </c>
      <c r="B28" s="1260">
        <v>6061</v>
      </c>
      <c r="C28" s="327"/>
      <c r="D28" s="327"/>
      <c r="E28" s="327"/>
      <c r="F28" s="327"/>
    </row>
    <row r="29" spans="1:6">
      <c r="A29" s="1258" t="s">
        <v>905</v>
      </c>
      <c r="B29" s="1260">
        <v>253</v>
      </c>
      <c r="C29" s="327"/>
      <c r="D29" s="327"/>
      <c r="E29" s="327"/>
      <c r="F29" s="327"/>
    </row>
    <row r="30" spans="1:6">
      <c r="A30" s="1253" t="s">
        <v>906</v>
      </c>
      <c r="B30" s="1261">
        <v>57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3648.4148182479998</v>
      </c>
    </row>
    <row r="37" spans="1:6">
      <c r="A37" s="1258" t="s">
        <v>24</v>
      </c>
      <c r="B37" s="1258" t="s">
        <v>27</v>
      </c>
      <c r="C37" s="1259">
        <v>0</v>
      </c>
      <c r="D37" s="1259">
        <v>0</v>
      </c>
      <c r="E37" s="1259">
        <v>0</v>
      </c>
      <c r="F37" s="1259">
        <v>0</v>
      </c>
    </row>
    <row r="38" spans="1:6">
      <c r="A38" s="1258" t="s">
        <v>24</v>
      </c>
      <c r="B38" s="1258" t="s">
        <v>28</v>
      </c>
      <c r="C38" s="1259">
        <v>3</v>
      </c>
      <c r="D38" s="1259">
        <v>413483.36290200002</v>
      </c>
      <c r="E38" s="1259">
        <v>2</v>
      </c>
      <c r="F38" s="1259">
        <v>5980.6358853985002</v>
      </c>
    </row>
    <row r="39" spans="1:6">
      <c r="A39" s="1258" t="s">
        <v>29</v>
      </c>
      <c r="B39" s="1258" t="s">
        <v>30</v>
      </c>
      <c r="C39" s="1259">
        <v>6202</v>
      </c>
      <c r="D39" s="1259">
        <v>118532459.097885</v>
      </c>
      <c r="E39" s="1259">
        <v>9887</v>
      </c>
      <c r="F39" s="1259">
        <v>35448084.970145397</v>
      </c>
    </row>
    <row r="40" spans="1:6">
      <c r="A40" s="1258" t="s">
        <v>29</v>
      </c>
      <c r="B40" s="1258" t="s">
        <v>28</v>
      </c>
      <c r="C40" s="1259">
        <v>0</v>
      </c>
      <c r="D40" s="1259">
        <v>0</v>
      </c>
      <c r="E40" s="1259">
        <v>0</v>
      </c>
      <c r="F40" s="1259">
        <v>0</v>
      </c>
    </row>
    <row r="41" spans="1:6">
      <c r="A41" s="1258" t="s">
        <v>31</v>
      </c>
      <c r="B41" s="1258" t="s">
        <v>32</v>
      </c>
      <c r="C41" s="1259">
        <v>52</v>
      </c>
      <c r="D41" s="1259">
        <v>1514840.5760600099</v>
      </c>
      <c r="E41" s="1259">
        <v>142</v>
      </c>
      <c r="F41" s="1259">
        <v>1652612.1925395201</v>
      </c>
    </row>
    <row r="42" spans="1:6">
      <c r="A42" s="1258" t="s">
        <v>31</v>
      </c>
      <c r="B42" s="1258" t="s">
        <v>33</v>
      </c>
      <c r="C42" s="1259">
        <v>0</v>
      </c>
      <c r="D42" s="1259">
        <v>0</v>
      </c>
      <c r="E42" s="1259">
        <v>6</v>
      </c>
      <c r="F42" s="1259">
        <v>53101272.072121501</v>
      </c>
    </row>
    <row r="43" spans="1:6">
      <c r="A43" s="1258" t="s">
        <v>31</v>
      </c>
      <c r="B43" s="1258" t="s">
        <v>34</v>
      </c>
      <c r="C43" s="1259">
        <v>0</v>
      </c>
      <c r="D43" s="1259">
        <v>0</v>
      </c>
      <c r="E43" s="1259">
        <v>0</v>
      </c>
      <c r="F43" s="1259">
        <v>0</v>
      </c>
    </row>
    <row r="44" spans="1:6">
      <c r="A44" s="1258" t="s">
        <v>31</v>
      </c>
      <c r="B44" s="1258" t="s">
        <v>35</v>
      </c>
      <c r="C44" s="1259">
        <v>6</v>
      </c>
      <c r="D44" s="1259">
        <v>807970.05596762197</v>
      </c>
      <c r="E44" s="1259">
        <v>22</v>
      </c>
      <c r="F44" s="1259">
        <v>501473.78455850901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5</v>
      </c>
      <c r="D47" s="1259">
        <v>69432.184094714205</v>
      </c>
      <c r="E47" s="1259">
        <v>4</v>
      </c>
      <c r="F47" s="1259">
        <v>16218.4097933639</v>
      </c>
    </row>
    <row r="48" spans="1:6">
      <c r="A48" s="1258" t="s">
        <v>31</v>
      </c>
      <c r="B48" s="1258" t="s">
        <v>28</v>
      </c>
      <c r="C48" s="1259">
        <v>36</v>
      </c>
      <c r="D48" s="1259">
        <v>73607015.018203795</v>
      </c>
      <c r="E48" s="1259">
        <v>40</v>
      </c>
      <c r="F48" s="1259">
        <v>92394485.977257103</v>
      </c>
    </row>
    <row r="49" spans="1:6">
      <c r="A49" s="1258" t="s">
        <v>31</v>
      </c>
      <c r="B49" s="1258" t="s">
        <v>39</v>
      </c>
      <c r="C49" s="1259">
        <v>0</v>
      </c>
      <c r="D49" s="1259">
        <v>0</v>
      </c>
      <c r="E49" s="1259">
        <v>0</v>
      </c>
      <c r="F49" s="1259">
        <v>0</v>
      </c>
    </row>
    <row r="50" spans="1:6">
      <c r="A50" s="1258" t="s">
        <v>31</v>
      </c>
      <c r="B50" s="1258" t="s">
        <v>40</v>
      </c>
      <c r="C50" s="1259">
        <v>10</v>
      </c>
      <c r="D50" s="1259">
        <v>590330.87891102803</v>
      </c>
      <c r="E50" s="1259">
        <v>17</v>
      </c>
      <c r="F50" s="1259">
        <v>824663.54493116296</v>
      </c>
    </row>
    <row r="51" spans="1:6">
      <c r="A51" s="1258" t="s">
        <v>41</v>
      </c>
      <c r="B51" s="1258" t="s">
        <v>42</v>
      </c>
      <c r="C51" s="1259">
        <v>0</v>
      </c>
      <c r="D51" s="1259">
        <v>0</v>
      </c>
      <c r="E51" s="1259">
        <v>64</v>
      </c>
      <c r="F51" s="1259">
        <v>1265347.39029816</v>
      </c>
    </row>
    <row r="52" spans="1:6">
      <c r="A52" s="1258" t="s">
        <v>41</v>
      </c>
      <c r="B52" s="1258" t="s">
        <v>28</v>
      </c>
      <c r="C52" s="1259">
        <v>7</v>
      </c>
      <c r="D52" s="1259">
        <v>15793189.2457668</v>
      </c>
      <c r="E52" s="1259">
        <v>6</v>
      </c>
      <c r="F52" s="1259">
        <v>2089671.11877989</v>
      </c>
    </row>
    <row r="53" spans="1:6">
      <c r="A53" s="1258" t="s">
        <v>43</v>
      </c>
      <c r="B53" s="1258" t="s">
        <v>44</v>
      </c>
      <c r="C53" s="1259">
        <v>133</v>
      </c>
      <c r="D53" s="1259">
        <v>4179704.3044071998</v>
      </c>
      <c r="E53" s="1259">
        <v>296</v>
      </c>
      <c r="F53" s="1259">
        <v>1462828.1032425901</v>
      </c>
    </row>
    <row r="54" spans="1:6">
      <c r="A54" s="1258" t="s">
        <v>45</v>
      </c>
      <c r="B54" s="1258" t="s">
        <v>46</v>
      </c>
      <c r="C54" s="1259">
        <v>0</v>
      </c>
      <c r="D54" s="1259">
        <v>0</v>
      </c>
      <c r="E54" s="1259">
        <v>1</v>
      </c>
      <c r="F54" s="1259">
        <v>2118761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48</v>
      </c>
      <c r="D57" s="1259">
        <v>4327819.12004836</v>
      </c>
      <c r="E57" s="1259">
        <v>171</v>
      </c>
      <c r="F57" s="1259">
        <v>6339317.0031638304</v>
      </c>
    </row>
    <row r="58" spans="1:6">
      <c r="A58" s="1258" t="s">
        <v>48</v>
      </c>
      <c r="B58" s="1258" t="s">
        <v>50</v>
      </c>
      <c r="C58" s="1259">
        <v>27</v>
      </c>
      <c r="D58" s="1259">
        <v>803881.19941167696</v>
      </c>
      <c r="E58" s="1259">
        <v>41</v>
      </c>
      <c r="F58" s="1259">
        <v>355908.99643254199</v>
      </c>
    </row>
    <row r="59" spans="1:6">
      <c r="A59" s="1258" t="s">
        <v>48</v>
      </c>
      <c r="B59" s="1258" t="s">
        <v>51</v>
      </c>
      <c r="C59" s="1259">
        <v>99</v>
      </c>
      <c r="D59" s="1259">
        <v>7363031.37331565</v>
      </c>
      <c r="E59" s="1259">
        <v>225</v>
      </c>
      <c r="F59" s="1259">
        <v>12777795.033798501</v>
      </c>
    </row>
    <row r="60" spans="1:6">
      <c r="A60" s="1258" t="s">
        <v>48</v>
      </c>
      <c r="B60" s="1258" t="s">
        <v>52</v>
      </c>
      <c r="C60" s="1259">
        <v>72</v>
      </c>
      <c r="D60" s="1259">
        <v>3611426.8386748899</v>
      </c>
      <c r="E60" s="1259">
        <v>106</v>
      </c>
      <c r="F60" s="1259">
        <v>4067647.2988984599</v>
      </c>
    </row>
    <row r="61" spans="1:6">
      <c r="A61" s="1258" t="s">
        <v>48</v>
      </c>
      <c r="B61" s="1258" t="s">
        <v>53</v>
      </c>
      <c r="C61" s="1259">
        <v>198</v>
      </c>
      <c r="D61" s="1259">
        <v>13472225.099860899</v>
      </c>
      <c r="E61" s="1259">
        <v>321</v>
      </c>
      <c r="F61" s="1259">
        <v>9356211.9716587197</v>
      </c>
    </row>
    <row r="62" spans="1:6">
      <c r="A62" s="1258" t="s">
        <v>48</v>
      </c>
      <c r="B62" s="1258" t="s">
        <v>54</v>
      </c>
      <c r="C62" s="1259">
        <v>18</v>
      </c>
      <c r="D62" s="1259">
        <v>3777830.7096068198</v>
      </c>
      <c r="E62" s="1259">
        <v>18</v>
      </c>
      <c r="F62" s="1259">
        <v>888488.92369643599</v>
      </c>
    </row>
    <row r="63" spans="1:6">
      <c r="A63" s="1258" t="s">
        <v>48</v>
      </c>
      <c r="B63" s="1258" t="s">
        <v>28</v>
      </c>
      <c r="C63" s="1259">
        <v>104</v>
      </c>
      <c r="D63" s="1259">
        <v>10001137.6247248</v>
      </c>
      <c r="E63" s="1259">
        <v>90</v>
      </c>
      <c r="F63" s="1259">
        <v>4744017.1404456198</v>
      </c>
    </row>
    <row r="64" spans="1:6">
      <c r="A64" s="1258" t="s">
        <v>55</v>
      </c>
      <c r="B64" s="1258" t="s">
        <v>56</v>
      </c>
      <c r="C64" s="1259">
        <v>0</v>
      </c>
      <c r="D64" s="1259">
        <v>0</v>
      </c>
      <c r="E64" s="1259">
        <v>0</v>
      </c>
      <c r="F64" s="1259">
        <v>0</v>
      </c>
    </row>
    <row r="65" spans="1:6">
      <c r="A65" s="1258" t="s">
        <v>55</v>
      </c>
      <c r="B65" s="1258" t="s">
        <v>28</v>
      </c>
      <c r="C65" s="1259">
        <v>1</v>
      </c>
      <c r="D65" s="1259">
        <v>16955.454975103101</v>
      </c>
      <c r="E65" s="1259">
        <v>6</v>
      </c>
      <c r="F65" s="1259">
        <v>24801.409921672599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505565.33381773601</v>
      </c>
      <c r="E68" s="1261">
        <v>15</v>
      </c>
      <c r="F68" s="1261">
        <v>369329.72349893698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113959762</v>
      </c>
      <c r="E73" s="446"/>
      <c r="F73" s="327"/>
    </row>
    <row r="74" spans="1:6">
      <c r="A74" s="1258" t="s">
        <v>63</v>
      </c>
      <c r="B74" s="1258" t="s">
        <v>681</v>
      </c>
      <c r="C74" s="1271" t="s">
        <v>682</v>
      </c>
      <c r="D74" s="1259">
        <v>6800320.6500942567</v>
      </c>
      <c r="E74" s="446"/>
      <c r="F74" s="327"/>
    </row>
    <row r="75" spans="1:6">
      <c r="A75" s="1258" t="s">
        <v>64</v>
      </c>
      <c r="B75" s="1258" t="s">
        <v>679</v>
      </c>
      <c r="C75" s="1271" t="s">
        <v>683</v>
      </c>
      <c r="D75" s="1259">
        <v>21118323</v>
      </c>
      <c r="E75" s="446"/>
      <c r="F75" s="327"/>
    </row>
    <row r="76" spans="1:6">
      <c r="A76" s="1258" t="s">
        <v>64</v>
      </c>
      <c r="B76" s="1258" t="s">
        <v>681</v>
      </c>
      <c r="C76" s="1271" t="s">
        <v>684</v>
      </c>
      <c r="D76" s="1259">
        <v>287959.65009425685</v>
      </c>
      <c r="E76" s="446"/>
      <c r="F76" s="327"/>
    </row>
    <row r="77" spans="1:6">
      <c r="A77" s="1258" t="s">
        <v>65</v>
      </c>
      <c r="B77" s="1258" t="s">
        <v>679</v>
      </c>
      <c r="C77" s="1271" t="s">
        <v>685</v>
      </c>
      <c r="D77" s="1259">
        <v>82878093</v>
      </c>
      <c r="E77" s="446"/>
      <c r="F77" s="327"/>
    </row>
    <row r="78" spans="1:6">
      <c r="A78" s="1253" t="s">
        <v>65</v>
      </c>
      <c r="B78" s="1253" t="s">
        <v>681</v>
      </c>
      <c r="C78" s="1253" t="s">
        <v>686</v>
      </c>
      <c r="D78" s="1261">
        <v>13338392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518156.69981148635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5643.49510554278</v>
      </c>
      <c r="C91" s="327"/>
      <c r="D91" s="327"/>
      <c r="E91" s="327"/>
      <c r="F91" s="327"/>
    </row>
    <row r="92" spans="1:6">
      <c r="A92" s="1253" t="s">
        <v>68</v>
      </c>
      <c r="B92" s="1254">
        <v>7528.5590064814041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3611</v>
      </c>
      <c r="C97" s="327"/>
      <c r="D97" s="327"/>
      <c r="E97" s="327"/>
      <c r="F97" s="327"/>
    </row>
    <row r="98" spans="1:6">
      <c r="A98" s="1258" t="s">
        <v>71</v>
      </c>
      <c r="B98" s="1259">
        <v>8</v>
      </c>
      <c r="C98" s="327"/>
      <c r="D98" s="327"/>
      <c r="E98" s="327"/>
      <c r="F98" s="327"/>
    </row>
    <row r="99" spans="1:6">
      <c r="A99" s="1258" t="s">
        <v>72</v>
      </c>
      <c r="B99" s="1259">
        <v>95</v>
      </c>
      <c r="C99" s="327"/>
      <c r="D99" s="327"/>
      <c r="E99" s="327"/>
      <c r="F99" s="327"/>
    </row>
    <row r="100" spans="1:6">
      <c r="A100" s="1258" t="s">
        <v>73</v>
      </c>
      <c r="B100" s="1259">
        <v>255</v>
      </c>
      <c r="C100" s="327"/>
      <c r="D100" s="327"/>
      <c r="E100" s="327"/>
      <c r="F100" s="327"/>
    </row>
    <row r="101" spans="1:6">
      <c r="A101" s="1258" t="s">
        <v>74</v>
      </c>
      <c r="B101" s="1259">
        <v>106</v>
      </c>
      <c r="C101" s="327"/>
      <c r="D101" s="327"/>
      <c r="E101" s="327"/>
      <c r="F101" s="327"/>
    </row>
    <row r="102" spans="1:6">
      <c r="A102" s="1258" t="s">
        <v>75</v>
      </c>
      <c r="B102" s="1259">
        <v>81</v>
      </c>
      <c r="C102" s="327"/>
      <c r="D102" s="327"/>
      <c r="E102" s="327"/>
      <c r="F102" s="327"/>
    </row>
    <row r="103" spans="1:6">
      <c r="A103" s="1258" t="s">
        <v>76</v>
      </c>
      <c r="B103" s="1259">
        <v>196</v>
      </c>
      <c r="C103" s="327"/>
      <c r="D103" s="327"/>
      <c r="E103" s="327"/>
      <c r="F103" s="327"/>
    </row>
    <row r="104" spans="1:6">
      <c r="A104" s="1258" t="s">
        <v>77</v>
      </c>
      <c r="B104" s="1259">
        <v>3988</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3</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41</v>
      </c>
      <c r="C123" s="1259">
        <v>20</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143</v>
      </c>
      <c r="C129" s="327"/>
      <c r="D129" s="327"/>
      <c r="E129" s="327"/>
      <c r="F129" s="327"/>
    </row>
    <row r="130" spans="1:6">
      <c r="A130" s="1258" t="s">
        <v>284</v>
      </c>
      <c r="B130" s="1259">
        <v>4</v>
      </c>
      <c r="C130" s="327"/>
      <c r="D130" s="327"/>
      <c r="E130" s="327"/>
      <c r="F130" s="327"/>
    </row>
    <row r="131" spans="1:6">
      <c r="A131" s="1258" t="s">
        <v>285</v>
      </c>
      <c r="B131" s="1259">
        <v>0</v>
      </c>
      <c r="C131" s="327"/>
      <c r="D131" s="327"/>
      <c r="E131" s="327"/>
      <c r="F131" s="327"/>
    </row>
    <row r="132" spans="1:6">
      <c r="A132" s="1253" t="s">
        <v>286</v>
      </c>
      <c r="B132" s="1254">
        <v>28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236415.52277100951</v>
      </c>
      <c r="C3" s="43" t="s">
        <v>163</v>
      </c>
      <c r="D3" s="43"/>
      <c r="E3" s="156"/>
      <c r="F3" s="43"/>
      <c r="G3" s="43"/>
      <c r="H3" s="43"/>
      <c r="I3" s="43"/>
      <c r="J3" s="43"/>
      <c r="K3" s="96"/>
    </row>
    <row r="4" spans="1:11">
      <c r="A4" s="353" t="s">
        <v>164</v>
      </c>
      <c r="B4" s="49">
        <f>IF(ISERROR('SEAP template'!B78+'SEAP template'!C78),0,'SEAP template'!B78+'SEAP template'!C78)</f>
        <v>19773.554112024183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1250.1423529411766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0.20780368755296161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1785.9176470588238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7515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2118.761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2118.761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0.20780368755296161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440.2863488434005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35448.084970145399</v>
      </c>
      <c r="C5" s="17">
        <f>IF(ISERROR('Eigen informatie GS &amp; warmtenet'!B57),0,'Eigen informatie GS &amp; warmtenet'!B57)</f>
        <v>0</v>
      </c>
      <c r="D5" s="30">
        <f>(SUM(HH_hh_gas_kWh,HH_rest_gas_kWh)/1000)*0.902</f>
        <v>106916.27810629227</v>
      </c>
      <c r="E5" s="17">
        <f>B32*B41</f>
        <v>2331.4534677322613</v>
      </c>
      <c r="F5" s="17">
        <f>B36*B45</f>
        <v>71448.493728652014</v>
      </c>
      <c r="G5" s="18"/>
      <c r="H5" s="17"/>
      <c r="I5" s="17"/>
      <c r="J5" s="17">
        <f>B35*B44+C35*C44</f>
        <v>1353.0922048099603</v>
      </c>
      <c r="K5" s="17"/>
      <c r="L5" s="17"/>
      <c r="M5" s="17"/>
      <c r="N5" s="17">
        <f>B34*B43+C34*C43</f>
        <v>15736.919637649045</v>
      </c>
      <c r="O5" s="17">
        <f>B52*B53*B54</f>
        <v>254.82333333333335</v>
      </c>
      <c r="P5" s="17">
        <f>B60*B61*B62/1000-B60*B61*B62/1000/B63</f>
        <v>1334.6666666666667</v>
      </c>
    </row>
    <row r="6" spans="1:16">
      <c r="A6" s="16" t="s">
        <v>592</v>
      </c>
      <c r="B6" s="733">
        <f>kWh_PV_kleiner_dan_10kW</f>
        <v>5643.49510554278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41091.58007568818</v>
      </c>
      <c r="C8" s="21">
        <f>C5</f>
        <v>0</v>
      </c>
      <c r="D8" s="21">
        <f>D5</f>
        <v>106916.27810629227</v>
      </c>
      <c r="E8" s="21">
        <f>E5</f>
        <v>2331.4534677322613</v>
      </c>
      <c r="F8" s="21">
        <f>F5</f>
        <v>71448.493728652014</v>
      </c>
      <c r="G8" s="21"/>
      <c r="H8" s="21"/>
      <c r="I8" s="21"/>
      <c r="J8" s="21">
        <f>J5</f>
        <v>1353.0922048099603</v>
      </c>
      <c r="K8" s="21"/>
      <c r="L8" s="21">
        <f>L5</f>
        <v>0</v>
      </c>
      <c r="M8" s="21">
        <f>M5</f>
        <v>0</v>
      </c>
      <c r="N8" s="21">
        <f>N5</f>
        <v>15736.919637649045</v>
      </c>
      <c r="O8" s="21">
        <f>O5</f>
        <v>254.82333333333335</v>
      </c>
      <c r="P8" s="21">
        <f>P5</f>
        <v>1334.6666666666667</v>
      </c>
    </row>
    <row r="9" spans="1:16">
      <c r="B9" s="19"/>
      <c r="C9" s="19"/>
      <c r="D9" s="257"/>
      <c r="E9" s="19"/>
      <c r="F9" s="19"/>
      <c r="G9" s="19"/>
      <c r="H9" s="19"/>
      <c r="I9" s="19"/>
      <c r="J9" s="19"/>
      <c r="K9" s="19"/>
      <c r="L9" s="19"/>
      <c r="M9" s="19"/>
      <c r="N9" s="19"/>
      <c r="O9" s="19"/>
      <c r="P9" s="19"/>
    </row>
    <row r="10" spans="1:16">
      <c r="A10" s="24" t="s">
        <v>207</v>
      </c>
      <c r="B10" s="25">
        <f ca="1">'EF ele_warmte'!B12</f>
        <v>0.20780368755296161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8538.9818671058092</v>
      </c>
      <c r="C12" s="23">
        <f ca="1">C10*C8</f>
        <v>0</v>
      </c>
      <c r="D12" s="23">
        <f>D8*D10</f>
        <v>21597.08817747104</v>
      </c>
      <c r="E12" s="23">
        <f>E10*E8</f>
        <v>529.2399371752233</v>
      </c>
      <c r="F12" s="23">
        <f>F10*F8</f>
        <v>19076.74782555009</v>
      </c>
      <c r="G12" s="23"/>
      <c r="H12" s="23"/>
      <c r="I12" s="23"/>
      <c r="J12" s="23">
        <f>J10*J8</f>
        <v>478.99464050272593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10022</v>
      </c>
      <c r="C26" s="36"/>
      <c r="D26" s="227"/>
    </row>
    <row r="27" spans="1:5" s="15" customFormat="1">
      <c r="A27" s="229" t="s">
        <v>697</v>
      </c>
      <c r="B27" s="37">
        <f>SUM(HH_hh_gas_aantal,HH_rest_gas_aantal)</f>
        <v>6202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5891.9</v>
      </c>
      <c r="C31" s="34" t="s">
        <v>104</v>
      </c>
      <c r="D31" s="173"/>
    </row>
    <row r="32" spans="1:5">
      <c r="A32" s="170" t="s">
        <v>72</v>
      </c>
      <c r="B32" s="33">
        <f>IF((B21*($B$26-($B$27-0.05*$B$27)-$B$60))&lt;0,0,B21*($B$26-($B$27-0.05*$B$27)-$B$60))</f>
        <v>101.67124610603013</v>
      </c>
      <c r="C32" s="34" t="s">
        <v>104</v>
      </c>
      <c r="D32" s="173"/>
    </row>
    <row r="33" spans="1:6">
      <c r="A33" s="170" t="s">
        <v>73</v>
      </c>
      <c r="B33" s="33">
        <f>IF((B22*($B$26-($B$27-0.05*$B$27)-$B$60))&lt;0,0,B22*($B$26-($B$27-0.05*$B$27)-$B$60))</f>
        <v>684.36673034765784</v>
      </c>
      <c r="C33" s="34" t="s">
        <v>104</v>
      </c>
      <c r="D33" s="173"/>
    </row>
    <row r="34" spans="1:6">
      <c r="A34" s="170" t="s">
        <v>74</v>
      </c>
      <c r="B34" s="33">
        <f>IF((B24*($B$26-($B$27-0.05*$B$27)-$B$60))&lt;0,0,B24*($B$26-($B$27-0.05*$B$27)-$B$60))</f>
        <v>173.63311575025071</v>
      </c>
      <c r="C34" s="33">
        <f>B26*C24</f>
        <v>2050.1009977756221</v>
      </c>
      <c r="D34" s="232"/>
    </row>
    <row r="35" spans="1:6">
      <c r="A35" s="170" t="s">
        <v>76</v>
      </c>
      <c r="B35" s="33">
        <f>IF((B19*($B$26-($B$27-0.05*$B$27)-$B$60))&lt;0,0,B19*($B$26-($B$27-0.05*$B$27)-$B$60))</f>
        <v>64.527769262150187</v>
      </c>
      <c r="C35" s="33">
        <f>B35/2</f>
        <v>32.263884631075094</v>
      </c>
      <c r="D35" s="232"/>
    </row>
    <row r="36" spans="1:6">
      <c r="A36" s="170" t="s">
        <v>77</v>
      </c>
      <c r="B36" s="33">
        <f>IF((B18*($B$26-($B$27-0.05*$B$27)-$B$60))&lt;0,0,B18*($B$26-($B$27-0.05*$B$27)-$B$60))</f>
        <v>3035.9011385339118</v>
      </c>
      <c r="C36" s="34" t="s">
        <v>104</v>
      </c>
      <c r="D36" s="173"/>
    </row>
    <row r="37" spans="1:6">
      <c r="A37" s="170" t="s">
        <v>78</v>
      </c>
      <c r="B37" s="33">
        <f>B60</f>
        <v>70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163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70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38529.386368094114</v>
      </c>
      <c r="C5" s="17">
        <f>IF(ISERROR('Eigen informatie GS &amp; warmtenet'!B58),0,'Eigen informatie GS &amp; warmtenet'!B58)</f>
        <v>0</v>
      </c>
      <c r="D5" s="30">
        <f>SUM(D6:D12)</f>
        <v>39108.331473010076</v>
      </c>
      <c r="E5" s="17">
        <f>SUM(E6:E12)</f>
        <v>221.63889519948918</v>
      </c>
      <c r="F5" s="17">
        <f>SUM(F6:F12)</f>
        <v>5209.3616249001097</v>
      </c>
      <c r="G5" s="18"/>
      <c r="H5" s="17"/>
      <c r="I5" s="17"/>
      <c r="J5" s="17">
        <f>SUM(J6:J12)</f>
        <v>29.210112019402928</v>
      </c>
      <c r="K5" s="17"/>
      <c r="L5" s="17"/>
      <c r="M5" s="17"/>
      <c r="N5" s="17">
        <f>SUM(N6:N12)</f>
        <v>4231.2359439439206</v>
      </c>
      <c r="O5" s="17">
        <f>B38*B39*B40</f>
        <v>6.2533333333333339</v>
      </c>
      <c r="P5" s="17">
        <f>B46*B47*B48/1000-B46*B47*B48/1000/B49</f>
        <v>0</v>
      </c>
      <c r="R5" s="32"/>
    </row>
    <row r="6" spans="1:18">
      <c r="A6" s="32" t="s">
        <v>53</v>
      </c>
      <c r="B6" s="37">
        <f>B26</f>
        <v>9356.2119716587204</v>
      </c>
      <c r="C6" s="33"/>
      <c r="D6" s="37">
        <f>IF(ISERROR(TER_kantoor_gas_kWh/1000),0,TER_kantoor_gas_kWh/1000)*0.902</f>
        <v>12151.947040074532</v>
      </c>
      <c r="E6" s="33">
        <f>$C$26*'E Balans VL '!I12/100/3.6*1000000</f>
        <v>78.974589443435235</v>
      </c>
      <c r="F6" s="33">
        <f>$C$26*('E Balans VL '!L12+'E Balans VL '!N12)/100/3.6*1000000</f>
        <v>1254.5644326188067</v>
      </c>
      <c r="G6" s="34"/>
      <c r="H6" s="33"/>
      <c r="I6" s="33"/>
      <c r="J6" s="33">
        <f>$C$26*('E Balans VL '!D12+'E Balans VL '!E12)/100/3.6*1000000</f>
        <v>0</v>
      </c>
      <c r="K6" s="33"/>
      <c r="L6" s="33"/>
      <c r="M6" s="33"/>
      <c r="N6" s="33">
        <f>$C$26*'E Balans VL '!Y12/100/3.6*1000000</f>
        <v>82.284990598290435</v>
      </c>
      <c r="O6" s="33"/>
      <c r="P6" s="33"/>
      <c r="R6" s="32"/>
    </row>
    <row r="7" spans="1:18">
      <c r="A7" s="32" t="s">
        <v>52</v>
      </c>
      <c r="B7" s="37">
        <f t="shared" ref="B7:B12" si="0">B27</f>
        <v>4067.6472988984597</v>
      </c>
      <c r="C7" s="33"/>
      <c r="D7" s="37">
        <f>IF(ISERROR(TER_horeca_gas_kWh/1000),0,TER_horeca_gas_kWh/1000)*0.902</f>
        <v>3257.5070084847507</v>
      </c>
      <c r="E7" s="33">
        <f>$C$27*'E Balans VL '!I9/100/3.6*1000000</f>
        <v>53.48144122347432</v>
      </c>
      <c r="F7" s="33">
        <f>$C$27*('E Balans VL '!L9+'E Balans VL '!N9)/100/3.6*1000000</f>
        <v>1021.538154116179</v>
      </c>
      <c r="G7" s="34"/>
      <c r="H7" s="33"/>
      <c r="I7" s="33"/>
      <c r="J7" s="33">
        <f>$C$27*('E Balans VL '!D9+'E Balans VL '!E9)/100/3.6*1000000</f>
        <v>0</v>
      </c>
      <c r="K7" s="33"/>
      <c r="L7" s="33"/>
      <c r="M7" s="33"/>
      <c r="N7" s="33">
        <f>$C$27*'E Balans VL '!Y9/100/3.6*1000000</f>
        <v>1.1073670472565014</v>
      </c>
      <c r="O7" s="33"/>
      <c r="P7" s="33"/>
      <c r="R7" s="32"/>
    </row>
    <row r="8" spans="1:18">
      <c r="A8" s="6" t="s">
        <v>51</v>
      </c>
      <c r="B8" s="37">
        <f t="shared" si="0"/>
        <v>12777.7950337985</v>
      </c>
      <c r="C8" s="33"/>
      <c r="D8" s="37">
        <f>IF(ISERROR(TER_handel_gas_kWh/1000),0,TER_handel_gas_kWh/1000)*0.902</f>
        <v>6641.4542987307168</v>
      </c>
      <c r="E8" s="33">
        <f>$C$28*'E Balans VL '!I13/100/3.6*1000000</f>
        <v>55.958665008253057</v>
      </c>
      <c r="F8" s="33">
        <f>$C$28*('E Balans VL '!L13+'E Balans VL '!N13)/100/3.6*1000000</f>
        <v>858.85465986823522</v>
      </c>
      <c r="G8" s="34"/>
      <c r="H8" s="33"/>
      <c r="I8" s="33"/>
      <c r="J8" s="33">
        <f>$C$28*('E Balans VL '!D13+'E Balans VL '!E13)/100/3.6*1000000</f>
        <v>0</v>
      </c>
      <c r="K8" s="33"/>
      <c r="L8" s="33"/>
      <c r="M8" s="33"/>
      <c r="N8" s="33">
        <f>$C$28*'E Balans VL '!Y13/100/3.6*1000000</f>
        <v>37.748868424273638</v>
      </c>
      <c r="O8" s="33"/>
      <c r="P8" s="33"/>
      <c r="R8" s="32"/>
    </row>
    <row r="9" spans="1:18">
      <c r="A9" s="32" t="s">
        <v>50</v>
      </c>
      <c r="B9" s="37">
        <f t="shared" si="0"/>
        <v>355.90899643254198</v>
      </c>
      <c r="C9" s="33"/>
      <c r="D9" s="37">
        <f>IF(ISERROR(TER_gezond_gas_kWh/1000),0,TER_gezond_gas_kWh/1000)*0.902</f>
        <v>725.10084186933273</v>
      </c>
      <c r="E9" s="33">
        <f>$C$29*'E Balans VL '!I10/100/3.6*1000000</f>
        <v>0.12239867522374943</v>
      </c>
      <c r="F9" s="33">
        <f>$C$29*('E Balans VL '!L10+'E Balans VL '!N10)/100/3.6*1000000</f>
        <v>31.107848143743883</v>
      </c>
      <c r="G9" s="34"/>
      <c r="H9" s="33"/>
      <c r="I9" s="33"/>
      <c r="J9" s="33">
        <f>$C$29*('E Balans VL '!D10+'E Balans VL '!E10)/100/3.6*1000000</f>
        <v>14.763410394820331</v>
      </c>
      <c r="K9" s="33"/>
      <c r="L9" s="33"/>
      <c r="M9" s="33"/>
      <c r="N9" s="33">
        <f>$C$29*'E Balans VL '!Y10/100/3.6*1000000</f>
        <v>3.7315743058904323</v>
      </c>
      <c r="O9" s="33"/>
      <c r="P9" s="33"/>
      <c r="R9" s="32"/>
    </row>
    <row r="10" spans="1:18">
      <c r="A10" s="32" t="s">
        <v>49</v>
      </c>
      <c r="B10" s="37">
        <f t="shared" si="0"/>
        <v>6339.3170031638301</v>
      </c>
      <c r="C10" s="33"/>
      <c r="D10" s="37">
        <f>IF(ISERROR(TER_ander_gas_kWh/1000),0,TER_ander_gas_kWh/1000)*0.902</f>
        <v>3903.6928462836204</v>
      </c>
      <c r="E10" s="33">
        <f>$C$30*'E Balans VL '!I14/100/3.6*1000000</f>
        <v>3.7702231299608369</v>
      </c>
      <c r="F10" s="33">
        <f>$C$30*('E Balans VL '!L14+'E Balans VL '!N14)/100/3.6*1000000</f>
        <v>1122.3959743157984</v>
      </c>
      <c r="G10" s="34"/>
      <c r="H10" s="33"/>
      <c r="I10" s="33"/>
      <c r="J10" s="33">
        <f>$C$30*('E Balans VL '!D14+'E Balans VL '!E14)/100/3.6*1000000</f>
        <v>0</v>
      </c>
      <c r="K10" s="33"/>
      <c r="L10" s="33"/>
      <c r="M10" s="33"/>
      <c r="N10" s="33">
        <f>$C$30*'E Balans VL '!Y14/100/3.6*1000000</f>
        <v>3764.0703250857382</v>
      </c>
      <c r="O10" s="33"/>
      <c r="P10" s="33"/>
      <c r="R10" s="32"/>
    </row>
    <row r="11" spans="1:18">
      <c r="A11" s="32" t="s">
        <v>54</v>
      </c>
      <c r="B11" s="37">
        <f t="shared" si="0"/>
        <v>888.48892369643602</v>
      </c>
      <c r="C11" s="33"/>
      <c r="D11" s="37">
        <f>IF(ISERROR(TER_onderwijs_gas_kWh/1000),0,TER_onderwijs_gas_kWh/1000)*0.902</f>
        <v>3407.6033000653515</v>
      </c>
      <c r="E11" s="33">
        <f>$C$31*'E Balans VL '!I11/100/3.6*1000000</f>
        <v>0.59097931662594549</v>
      </c>
      <c r="F11" s="33">
        <f>$C$31*('E Balans VL '!L11+'E Balans VL '!N11)/100/3.6*1000000</f>
        <v>284.6545391115082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4744.0171404456196</v>
      </c>
      <c r="C12" s="33"/>
      <c r="D12" s="37">
        <f>IF(ISERROR(TER_rest_gas_kWh/1000),0,TER_rest_gas_kWh/1000)*0.902</f>
        <v>9021.026137501769</v>
      </c>
      <c r="E12" s="33">
        <f>$C$32*'E Balans VL '!I8/100/3.6*1000000</f>
        <v>28.740598402516021</v>
      </c>
      <c r="F12" s="33">
        <f>$C$32*('E Balans VL '!L8+'E Balans VL '!N8)/100/3.6*1000000</f>
        <v>636.24601672583822</v>
      </c>
      <c r="G12" s="34"/>
      <c r="H12" s="33"/>
      <c r="I12" s="33"/>
      <c r="J12" s="33">
        <f>$C$32*('E Balans VL '!D8+'E Balans VL '!E8)/100/3.6*1000000</f>
        <v>14.446701624582596</v>
      </c>
      <c r="K12" s="33"/>
      <c r="L12" s="33"/>
      <c r="M12" s="33"/>
      <c r="N12" s="33">
        <f>$C$32*'E Balans VL '!Y8/100/3.6*1000000</f>
        <v>342.29281848247098</v>
      </c>
      <c r="O12" s="33"/>
      <c r="P12" s="33"/>
      <c r="R12" s="32"/>
    </row>
    <row r="13" spans="1:18">
      <c r="A13" s="16" t="s">
        <v>483</v>
      </c>
      <c r="B13" s="245">
        <f ca="1">'lokale energieproductie'!N38+'lokale energieproductie'!N31</f>
        <v>1341</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-3831.4285714285716</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39870.386368094114</v>
      </c>
      <c r="C16" s="21">
        <f t="shared" ca="1" si="1"/>
        <v>0</v>
      </c>
      <c r="D16" s="21">
        <f t="shared" ca="1" si="1"/>
        <v>39108.331473010076</v>
      </c>
      <c r="E16" s="21">
        <f t="shared" si="1"/>
        <v>221.63889519948918</v>
      </c>
      <c r="F16" s="21">
        <f t="shared" ca="1" si="1"/>
        <v>5209.3616249001097</v>
      </c>
      <c r="G16" s="21">
        <f t="shared" si="1"/>
        <v>0</v>
      </c>
      <c r="H16" s="21">
        <f t="shared" si="1"/>
        <v>0</v>
      </c>
      <c r="I16" s="21">
        <f t="shared" si="1"/>
        <v>0</v>
      </c>
      <c r="J16" s="21">
        <f t="shared" si="1"/>
        <v>29.210112019402928</v>
      </c>
      <c r="K16" s="21">
        <f t="shared" si="1"/>
        <v>0</v>
      </c>
      <c r="L16" s="21">
        <f t="shared" ca="1" si="1"/>
        <v>0</v>
      </c>
      <c r="M16" s="21">
        <f t="shared" si="1"/>
        <v>0</v>
      </c>
      <c r="N16" s="21">
        <f t="shared" ca="1" si="1"/>
        <v>399.80737251534902</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0.20780368755296161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8285.213311451289</v>
      </c>
      <c r="C20" s="23">
        <f t="shared" ref="C20:P20" ca="1" si="2">C16*C18</f>
        <v>0</v>
      </c>
      <c r="D20" s="23">
        <f t="shared" ca="1" si="2"/>
        <v>7899.8829575480358</v>
      </c>
      <c r="E20" s="23">
        <f t="shared" si="2"/>
        <v>50.312029210284045</v>
      </c>
      <c r="F20" s="23">
        <f t="shared" ca="1" si="2"/>
        <v>1390.8995538483293</v>
      </c>
      <c r="G20" s="23">
        <f t="shared" si="2"/>
        <v>0</v>
      </c>
      <c r="H20" s="23">
        <f t="shared" si="2"/>
        <v>0</v>
      </c>
      <c r="I20" s="23">
        <f t="shared" si="2"/>
        <v>0</v>
      </c>
      <c r="J20" s="23">
        <f t="shared" si="2"/>
        <v>10.340379654868636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9356.2119716587204</v>
      </c>
      <c r="C26" s="39">
        <f>IF(ISERROR(B26*3.6/1000000/'E Balans VL '!Z12*100),0,B26*3.6/1000000/'E Balans VL '!Z12*100)</f>
        <v>0.1960945875738444</v>
      </c>
      <c r="D26" s="235" t="s">
        <v>647</v>
      </c>
      <c r="F26" s="6"/>
    </row>
    <row r="27" spans="1:18">
      <c r="A27" s="230" t="s">
        <v>52</v>
      </c>
      <c r="B27" s="33">
        <f>IF(ISERROR(TER_horeca_ele_kWh/1000),0,TER_horeca_ele_kWh/1000)</f>
        <v>4067.6472988984597</v>
      </c>
      <c r="C27" s="39">
        <f>IF(ISERROR(B27*3.6/1000000/'E Balans VL '!Z9*100),0,B27*3.6/1000000/'E Balans VL '!Z9*100)</f>
        <v>0.31186581848418599</v>
      </c>
      <c r="D27" s="235" t="s">
        <v>647</v>
      </c>
      <c r="F27" s="6"/>
    </row>
    <row r="28" spans="1:18">
      <c r="A28" s="170" t="s">
        <v>51</v>
      </c>
      <c r="B28" s="33">
        <f>IF(ISERROR(TER_handel_ele_kWh/1000),0,TER_handel_ele_kWh/1000)</f>
        <v>12777.7950337985</v>
      </c>
      <c r="C28" s="39">
        <f>IF(ISERROR(B28*3.6/1000000/'E Balans VL '!Z13*100),0,B28*3.6/1000000/'E Balans VL '!Z13*100)</f>
        <v>0.36048044795804657</v>
      </c>
      <c r="D28" s="235" t="s">
        <v>647</v>
      </c>
      <c r="F28" s="6"/>
    </row>
    <row r="29" spans="1:18">
      <c r="A29" s="230" t="s">
        <v>50</v>
      </c>
      <c r="B29" s="33">
        <f>IF(ISERROR(TER_gezond_ele_kWh/1000),0,TER_gezond_ele_kWh/1000)</f>
        <v>355.90899643254198</v>
      </c>
      <c r="C29" s="39">
        <f>IF(ISERROR(B29*3.6/1000000/'E Balans VL '!Z10*100),0,B29*3.6/1000000/'E Balans VL '!Z10*100)</f>
        <v>3.9519267603079257E-2</v>
      </c>
      <c r="D29" s="235" t="s">
        <v>647</v>
      </c>
      <c r="F29" s="6"/>
    </row>
    <row r="30" spans="1:18">
      <c r="A30" s="230" t="s">
        <v>49</v>
      </c>
      <c r="B30" s="33">
        <f>IF(ISERROR(TER_ander_ele_kWh/1000),0,TER_ander_ele_kWh/1000)</f>
        <v>6339.3170031638301</v>
      </c>
      <c r="C30" s="39">
        <f>IF(ISERROR(B30*3.6/1000000/'E Balans VL '!Z14*100),0,B30*3.6/1000000/'E Balans VL '!Z14*100)</f>
        <v>0.45741614196856872</v>
      </c>
      <c r="D30" s="235" t="s">
        <v>647</v>
      </c>
      <c r="F30" s="6"/>
    </row>
    <row r="31" spans="1:18">
      <c r="A31" s="230" t="s">
        <v>54</v>
      </c>
      <c r="B31" s="33">
        <f>IF(ISERROR(TER_onderwijs_ele_kWh/1000),0,TER_onderwijs_ele_kWh/1000)</f>
        <v>888.48892369643602</v>
      </c>
      <c r="C31" s="39">
        <f>IF(ISERROR(B31*3.6/1000000/'E Balans VL '!Z11*100),0,B31*3.6/1000000/'E Balans VL '!Z11*100)</f>
        <v>0.24628209183538918</v>
      </c>
      <c r="D31" s="235" t="s">
        <v>647</v>
      </c>
    </row>
    <row r="32" spans="1:18">
      <c r="A32" s="230" t="s">
        <v>249</v>
      </c>
      <c r="B32" s="33">
        <f>IF(ISERROR(TER_rest_ele_kWh/1000),0,TER_rest_ele_kWh/1000)</f>
        <v>4744.0171404456196</v>
      </c>
      <c r="C32" s="39">
        <f>IF(ISERROR(B32*3.6/1000000/'E Balans VL '!Z8*100),0,B32*3.6/1000000/'E Balans VL '!Z8*100)</f>
        <v>3.8671489324988546E-2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4</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148490.72598120116</v>
      </c>
      <c r="C5" s="17">
        <f>IF(ISERROR('Eigen informatie GS &amp; warmtenet'!B59),0,'Eigen informatie GS &amp; warmtenet'!B59)</f>
        <v>0</v>
      </c>
      <c r="D5" s="30">
        <f>SUM(D6:D15)</f>
        <v>69083.809019339926</v>
      </c>
      <c r="E5" s="17">
        <f>SUM(E6:E15)</f>
        <v>5934.698088169851</v>
      </c>
      <c r="F5" s="17">
        <f>SUM(F6:F15)</f>
        <v>25183.937840687264</v>
      </c>
      <c r="G5" s="18"/>
      <c r="H5" s="17"/>
      <c r="I5" s="17"/>
      <c r="J5" s="17">
        <f>SUM(J6:J15)</f>
        <v>236.82378719815367</v>
      </c>
      <c r="K5" s="17"/>
      <c r="L5" s="17"/>
      <c r="M5" s="17"/>
      <c r="N5" s="17">
        <f>SUM(N6:N15)</f>
        <v>5975.7113058657233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501.47378455850901</v>
      </c>
      <c r="C8" s="33"/>
      <c r="D8" s="37">
        <f>IF( ISERROR(IND_metaal_Gas_kWH/1000),0,IND_metaal_Gas_kWH/1000)*0.902</f>
        <v>728.78899048279504</v>
      </c>
      <c r="E8" s="33">
        <f>C30*'E Balans VL '!I18/100/3.6*1000000</f>
        <v>14.404209394189557</v>
      </c>
      <c r="F8" s="33">
        <f>C30*'E Balans VL '!L18/100/3.6*1000000+C30*'E Balans VL '!N18/100/3.6*1000000</f>
        <v>128.61838101232439</v>
      </c>
      <c r="G8" s="34"/>
      <c r="H8" s="33"/>
      <c r="I8" s="33"/>
      <c r="J8" s="40">
        <f>C30*'E Balans VL '!D18/100/3.6*1000000+C30*'E Balans VL '!E18/100/3.6*1000000</f>
        <v>0</v>
      </c>
      <c r="K8" s="33"/>
      <c r="L8" s="33"/>
      <c r="M8" s="33"/>
      <c r="N8" s="33">
        <f>C30*'E Balans VL '!Y18/100/3.6*1000000</f>
        <v>13.616036903786629</v>
      </c>
      <c r="O8" s="33"/>
      <c r="P8" s="33"/>
      <c r="R8" s="32"/>
    </row>
    <row r="9" spans="1:18">
      <c r="A9" s="6" t="s">
        <v>32</v>
      </c>
      <c r="B9" s="37">
        <f t="shared" si="0"/>
        <v>1652.61219253952</v>
      </c>
      <c r="C9" s="33"/>
      <c r="D9" s="37">
        <f>IF( ISERROR(IND_andere_gas_kWh/1000),0,IND_andere_gas_kWh/1000)*0.902</f>
        <v>1366.3861996061289</v>
      </c>
      <c r="E9" s="33">
        <f>C31*'E Balans VL '!I19/100/3.6*1000000</f>
        <v>447.32148767762891</v>
      </c>
      <c r="F9" s="33">
        <f>C31*'E Balans VL '!L19/100/3.6*1000000+C31*'E Balans VL '!N19/100/3.6*1000000</f>
        <v>1100.8146031326239</v>
      </c>
      <c r="G9" s="34"/>
      <c r="H9" s="33"/>
      <c r="I9" s="33"/>
      <c r="J9" s="40">
        <f>C31*'E Balans VL '!D19/100/3.6*1000000+C31*'E Balans VL '!E19/100/3.6*1000000</f>
        <v>0</v>
      </c>
      <c r="K9" s="33"/>
      <c r="L9" s="33"/>
      <c r="M9" s="33"/>
      <c r="N9" s="33">
        <f>C31*'E Balans VL '!Y19/100/3.6*1000000</f>
        <v>139.71741357355498</v>
      </c>
      <c r="O9" s="33"/>
      <c r="P9" s="33"/>
      <c r="R9" s="32"/>
    </row>
    <row r="10" spans="1:18">
      <c r="A10" s="6" t="s">
        <v>40</v>
      </c>
      <c r="B10" s="37">
        <f t="shared" si="0"/>
        <v>824.66354493116296</v>
      </c>
      <c r="C10" s="33"/>
      <c r="D10" s="37">
        <f>IF( ISERROR(IND_voed_gas_kWh/1000),0,IND_voed_gas_kWh/1000)*0.902</f>
        <v>532.47845277774729</v>
      </c>
      <c r="E10" s="33">
        <f>C32*'E Balans VL '!I20/100/3.6*1000000</f>
        <v>67.261453339779692</v>
      </c>
      <c r="F10" s="33">
        <f>C32*'E Balans VL '!L20/100/3.6*1000000+C32*'E Balans VL '!N20/100/3.6*1000000</f>
        <v>1229.6481655249879</v>
      </c>
      <c r="G10" s="34"/>
      <c r="H10" s="33"/>
      <c r="I10" s="33"/>
      <c r="J10" s="40">
        <f>C32*'E Balans VL '!D20/100/3.6*1000000+C32*'E Balans VL '!E20/100/3.6*1000000</f>
        <v>1.0909297692181477E-2</v>
      </c>
      <c r="K10" s="33"/>
      <c r="L10" s="33"/>
      <c r="M10" s="33"/>
      <c r="N10" s="33">
        <f>C32*'E Balans VL '!Y20/100/3.6*1000000</f>
        <v>242.25705026198372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16.2184097933639</v>
      </c>
      <c r="C13" s="33"/>
      <c r="D13" s="37">
        <f>IF( ISERROR(IND_papier_gas_kWh/1000),0,IND_papier_gas_kWh/1000)*0.902</f>
        <v>62.627830053432213</v>
      </c>
      <c r="E13" s="33">
        <f>C35*'E Balans VL '!I23/100/3.6*1000000</f>
        <v>0.16991738892228792</v>
      </c>
      <c r="F13" s="33">
        <f>C35*'E Balans VL '!L23/100/3.6*1000000+C35*'E Balans VL '!N23/100/3.6*1000000</f>
        <v>1.2102206134296116</v>
      </c>
      <c r="G13" s="34"/>
      <c r="H13" s="33"/>
      <c r="I13" s="33"/>
      <c r="J13" s="40">
        <f>C35*'E Balans VL '!D23/100/3.6*1000000+C35*'E Balans VL '!E23/100/3.6*1000000</f>
        <v>0</v>
      </c>
      <c r="K13" s="33"/>
      <c r="L13" s="33"/>
      <c r="M13" s="33"/>
      <c r="N13" s="33">
        <f>C35*'E Balans VL '!Y23/100/3.6*1000000</f>
        <v>2.9919459246106155</v>
      </c>
      <c r="O13" s="33"/>
      <c r="P13" s="33"/>
      <c r="R13" s="32"/>
    </row>
    <row r="14" spans="1:18">
      <c r="A14" s="6" t="s">
        <v>33</v>
      </c>
      <c r="B14" s="37">
        <f t="shared" si="0"/>
        <v>53101.272072121501</v>
      </c>
      <c r="C14" s="33"/>
      <c r="D14" s="37">
        <f>IF( ISERROR(IND_chemie_gas_kWh/1000),0,IND_chemie_gas_kWh/1000)*0.902</f>
        <v>0</v>
      </c>
      <c r="E14" s="33">
        <f>C36*'E Balans VL '!I24/100/3.6*1000000</f>
        <v>251.0221828687703</v>
      </c>
      <c r="F14" s="33">
        <f>C36*'E Balans VL '!L24/100/3.6*1000000+C36*'E Balans VL '!N24/100/3.6*1000000</f>
        <v>1003.5855394683123</v>
      </c>
      <c r="G14" s="34"/>
      <c r="H14" s="33"/>
      <c r="I14" s="33"/>
      <c r="J14" s="40">
        <f>C36*'E Balans VL '!D24/100/3.6*1000000+C36*'E Balans VL '!E24/100/3.6*1000000</f>
        <v>0</v>
      </c>
      <c r="K14" s="33"/>
      <c r="L14" s="33"/>
      <c r="M14" s="33"/>
      <c r="N14" s="33">
        <f>C36*'E Balans VL '!Y24/100/3.6*1000000</f>
        <v>1289.1192426532732</v>
      </c>
      <c r="O14" s="33"/>
      <c r="P14" s="33"/>
      <c r="R14" s="32"/>
    </row>
    <row r="15" spans="1:18">
      <c r="A15" s="6" t="s">
        <v>259</v>
      </c>
      <c r="B15" s="37">
        <f t="shared" si="0"/>
        <v>92394.485977257107</v>
      </c>
      <c r="C15" s="33"/>
      <c r="D15" s="37">
        <f>IF( ISERROR(IND_rest_gas_kWh/1000),0,IND_rest_gas_kWh/1000)*0.902</f>
        <v>66393.52754641982</v>
      </c>
      <c r="E15" s="33">
        <f>C37*'E Balans VL '!I15/100/3.6*1000000</f>
        <v>5154.51883750056</v>
      </c>
      <c r="F15" s="33">
        <f>C37*'E Balans VL '!L15/100/3.6*1000000+C37*'E Balans VL '!N15/100/3.6*1000000</f>
        <v>21720.060930935586</v>
      </c>
      <c r="G15" s="34"/>
      <c r="H15" s="33"/>
      <c r="I15" s="33"/>
      <c r="J15" s="40">
        <f>C37*'E Balans VL '!D15/100/3.6*1000000+C37*'E Balans VL '!E15/100/3.6*1000000</f>
        <v>236.81287790046147</v>
      </c>
      <c r="K15" s="33"/>
      <c r="L15" s="33"/>
      <c r="M15" s="33"/>
      <c r="N15" s="33">
        <f>C37*'E Balans VL '!Y15/100/3.6*1000000</f>
        <v>4288.0096165485138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148490.72598120116</v>
      </c>
      <c r="C18" s="21">
        <f>C5+C16</f>
        <v>0</v>
      </c>
      <c r="D18" s="21">
        <f>MAX((D5+D16),0)</f>
        <v>69083.809019339926</v>
      </c>
      <c r="E18" s="21">
        <f>MAX((E5+E16),0)</f>
        <v>5934.698088169851</v>
      </c>
      <c r="F18" s="21">
        <f>MAX((F5+F16),0)</f>
        <v>25183.937840687264</v>
      </c>
      <c r="G18" s="21"/>
      <c r="H18" s="21"/>
      <c r="I18" s="21"/>
      <c r="J18" s="21">
        <f>MAX((J5+J16),0)</f>
        <v>236.82378719815367</v>
      </c>
      <c r="K18" s="21"/>
      <c r="L18" s="21">
        <f>MAX((L5+L16),0)</f>
        <v>0</v>
      </c>
      <c r="M18" s="21"/>
      <c r="N18" s="21">
        <f>MAX((N5+N16),0)</f>
        <v>5975.7113058657233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0.20780368755296161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30856.920426309964</v>
      </c>
      <c r="C22" s="23">
        <f ca="1">C18*C20</f>
        <v>0</v>
      </c>
      <c r="D22" s="23">
        <f>D18*D20</f>
        <v>13954.929421906665</v>
      </c>
      <c r="E22" s="23">
        <f>E18*E20</f>
        <v>1347.1764660145561</v>
      </c>
      <c r="F22" s="23">
        <f>F18*F20</f>
        <v>6724.1114034635002</v>
      </c>
      <c r="G22" s="23"/>
      <c r="H22" s="23"/>
      <c r="I22" s="23"/>
      <c r="J22" s="23">
        <f>J18*J20</f>
        <v>83.83562066814639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501.47378455850901</v>
      </c>
      <c r="C30" s="39">
        <f>IF(ISERROR(B30*3.6/1000000/'E Balans VL '!Z18*100),0,B30*3.6/1000000/'E Balans VL '!Z18*100)</f>
        <v>4.9343740274350824E-2</v>
      </c>
      <c r="D30" s="235" t="s">
        <v>647</v>
      </c>
    </row>
    <row r="31" spans="1:18">
      <c r="A31" s="6" t="s">
        <v>32</v>
      </c>
      <c r="B31" s="37">
        <f>IF( ISERROR(IND_ander_ele_kWh/1000),0,IND_ander_ele_kWh/1000)</f>
        <v>1652.61219253952</v>
      </c>
      <c r="C31" s="39">
        <f>IF(ISERROR(B31*3.6/1000000/'E Balans VL '!Z19*100),0,B31*3.6/1000000/'E Balans VL '!Z19*100)</f>
        <v>7.1969942709335974E-2</v>
      </c>
      <c r="D31" s="235" t="s">
        <v>647</v>
      </c>
    </row>
    <row r="32" spans="1:18">
      <c r="A32" s="170" t="s">
        <v>40</v>
      </c>
      <c r="B32" s="37">
        <f>IF( ISERROR(IND_voed_ele_kWh/1000),0,IND_voed_ele_kWh/1000)</f>
        <v>824.66354493116296</v>
      </c>
      <c r="C32" s="39">
        <f>IF(ISERROR(B32*3.6/1000000/'E Balans VL '!Z20*100),0,B32*3.6/1000000/'E Balans VL '!Z20*100)</f>
        <v>0.15646801470857277</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16.2184097933639</v>
      </c>
      <c r="C35" s="39">
        <f>IF(ISERROR(B35*3.6/1000000/'E Balans VL '!Z22*100),0,B35*3.6/1000000/'E Balans VL '!Z22*100)</f>
        <v>2.2804712771418169E-3</v>
      </c>
      <c r="D35" s="235" t="s">
        <v>647</v>
      </c>
    </row>
    <row r="36" spans="1:5">
      <c r="A36" s="170" t="s">
        <v>33</v>
      </c>
      <c r="B36" s="37">
        <f>IF( ISERROR(IND_chemie_ele_kWh/1000),0,IND_chemie_ele_kWh/1000)</f>
        <v>53101.272072121501</v>
      </c>
      <c r="C36" s="39">
        <f>IF(ISERROR(B36*3.6/1000000/'E Balans VL '!Z24*100),0,B36*3.6/1000000/'E Balans VL '!Z24*100)</f>
        <v>1.5475279793837362</v>
      </c>
      <c r="D36" s="235" t="s">
        <v>647</v>
      </c>
    </row>
    <row r="37" spans="1:5">
      <c r="A37" s="170" t="s">
        <v>259</v>
      </c>
      <c r="B37" s="37">
        <f>IF( ISERROR(IND_rest_ele_kWh/1000),0,IND_rest_ele_kWh/1000)</f>
        <v>92394.485977257107</v>
      </c>
      <c r="C37" s="39">
        <f>IF(ISERROR(B37*3.6/1000000/'E Balans VL '!Z15*100),0,B37*3.6/1000000/'E Balans VL '!Z15*100)</f>
        <v>0.71201299827580111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3355.0185090780501</v>
      </c>
      <c r="C5" s="17">
        <f>'Eigen informatie GS &amp; warmtenet'!B60</f>
        <v>0</v>
      </c>
      <c r="D5" s="30">
        <f>IF(ISERROR(SUM(LB_lb_gas_kWh,LB_rest_gas_kWh)/1000),0,SUM(LB_lb_gas_kWh,LB_rest_gas_kWh)/1000)*0.902</f>
        <v>14245.456699681654</v>
      </c>
      <c r="E5" s="17">
        <f>B17*'E Balans VL '!I25/3.6*1000000/100</f>
        <v>69.665986910560036</v>
      </c>
      <c r="F5" s="17">
        <f>B17*('E Balans VL '!L25/3.6*1000000+'E Balans VL '!N25/3.6*1000000)/100</f>
        <v>11856.721021354733</v>
      </c>
      <c r="G5" s="18"/>
      <c r="H5" s="17"/>
      <c r="I5" s="17"/>
      <c r="J5" s="17">
        <f>('E Balans VL '!D25+'E Balans VL '!E25)/3.6*1000000*landbouw!B17/100</f>
        <v>384.79940306844094</v>
      </c>
      <c r="K5" s="17"/>
      <c r="L5" s="17">
        <f>L6*(-1)</f>
        <v>0</v>
      </c>
      <c r="M5" s="17"/>
      <c r="N5" s="17">
        <f>N6*(-1)</f>
        <v>0</v>
      </c>
      <c r="O5" s="17"/>
      <c r="P5" s="17"/>
      <c r="R5" s="32"/>
    </row>
    <row r="6" spans="1:18">
      <c r="A6" s="16" t="s">
        <v>483</v>
      </c>
      <c r="B6" s="17" t="s">
        <v>204</v>
      </c>
      <c r="C6" s="17">
        <f>'lokale energieproductie'!O39+'lokale energieproductie'!O32</f>
        <v>7515</v>
      </c>
      <c r="D6" s="305">
        <f>('lokale energieproductie'!P32+'lokale energieproductie'!P39)*(-1)</f>
        <v>-15030.000000000002</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3355.0185090780501</v>
      </c>
      <c r="C8" s="21">
        <f>C5+C6</f>
        <v>7515</v>
      </c>
      <c r="D8" s="21">
        <f>MAX((D5+D6),0)</f>
        <v>0</v>
      </c>
      <c r="E8" s="21">
        <f>MAX((E5+E6),0)</f>
        <v>69.665986910560036</v>
      </c>
      <c r="F8" s="21">
        <f>MAX((F5+F6),0)</f>
        <v>11856.721021354733</v>
      </c>
      <c r="G8" s="21"/>
      <c r="H8" s="21"/>
      <c r="I8" s="21"/>
      <c r="J8" s="21">
        <f>MAX((J5+J6),0)</f>
        <v>384.79940306844094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0.20780368755296161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697.18521799485825</v>
      </c>
      <c r="C12" s="23">
        <f ca="1">C8*C10</f>
        <v>1785.9176470588238</v>
      </c>
      <c r="D12" s="23">
        <f>D8*D10</f>
        <v>0</v>
      </c>
      <c r="E12" s="23">
        <f>E8*E10</f>
        <v>15.814179028697129</v>
      </c>
      <c r="F12" s="23">
        <f>F8*F10</f>
        <v>3165.744512701714</v>
      </c>
      <c r="G12" s="23"/>
      <c r="H12" s="23"/>
      <c r="I12" s="23"/>
      <c r="J12" s="23">
        <f>J8*J10</f>
        <v>136.21898868622807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0.46791933797103247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329.4640773651725</v>
      </c>
      <c r="C26" s="245">
        <f>B26*'GWP N2O_CH4'!B5</f>
        <v>6918.7456246686224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89.461501246562577</v>
      </c>
      <c r="C27" s="245">
        <f>B27*'GWP N2O_CH4'!B5</f>
        <v>1878.691526177814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7.047975892336698</v>
      </c>
      <c r="C28" s="245">
        <f>B28*'GWP N2O_CH4'!B4</f>
        <v>2184.8725266243764</v>
      </c>
      <c r="D28" s="50"/>
    </row>
    <row r="29" spans="1:4">
      <c r="A29" s="41" t="s">
        <v>266</v>
      </c>
      <c r="B29" s="245">
        <f>B34*'ha_N2O bodem landbouw'!B4</f>
        <v>13.253488746384637</v>
      </c>
      <c r="C29" s="245">
        <f>B29*'GWP N2O_CH4'!B4</f>
        <v>4108.5815113792378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3.3092637074164689E-3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5.9916377807830926E-5</v>
      </c>
      <c r="C5" s="434" t="s">
        <v>204</v>
      </c>
      <c r="D5" s="419">
        <f>SUM(D6:D11)</f>
        <v>5.3739723213883306E-5</v>
      </c>
      <c r="E5" s="419">
        <f>SUM(E6:E11)</f>
        <v>2.0777904413344763E-3</v>
      </c>
      <c r="F5" s="432" t="s">
        <v>204</v>
      </c>
      <c r="G5" s="419">
        <f>SUM(G6:G11)</f>
        <v>0.58382630896868504</v>
      </c>
      <c r="H5" s="419">
        <f>SUM(H6:H11)</f>
        <v>0.10026234064395732</v>
      </c>
      <c r="I5" s="434" t="s">
        <v>204</v>
      </c>
      <c r="J5" s="434" t="s">
        <v>204</v>
      </c>
      <c r="K5" s="434" t="s">
        <v>204</v>
      </c>
      <c r="L5" s="434" t="s">
        <v>204</v>
      </c>
      <c r="M5" s="419">
        <f>SUM(M6:M11)</f>
        <v>3.0930772249297342E-2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2.9711150469695254E-5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2.6354026482364603E-5</v>
      </c>
      <c r="E6" s="836">
        <f>vkm_GW_PW*SUMIFS(TableVerdeelsleutelVkm[LPG],TableVerdeelsleutelVkm[Voertuigtype],"Lichte voertuigen")*SUMIFS(TableECFTransport[EnergieConsumptieFactor (PJ per km)],TableECFTransport[Index],CONCATENATE($A6,"_LPG_LPG"))</f>
        <v>9.4635134026500487E-4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0.18812937633860136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4.8564453661918257E-2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1.0708073591801367E-2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4.1130222184450603E-7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6.4362682229413951E-2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1.693098286366849E-6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2.9060845759507708E-3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5.9544598077983479E-6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8.3095964848444507E-6</v>
      </c>
      <c r="E8" s="422">
        <f>vkm_NGW_PW*SUMIFS(TableVerdeelsleutelVkm[LPG],TableVerdeelsleutelVkm[Voertuigtype],"Lichte voertuigen")*SUMIFS(TableECFTransport[EnergieConsumptieFactor (PJ per km)],TableECFTransport[Index],CONCATENATE($A8,"_LPG_LPG"))</f>
        <v>2.832866113662385E-4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5.3129976286321719E-2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1.4677446293161305E-2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3.0679549309051302E-3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1.7416596948806044E-8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3.5008736029645978E-3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8.653680614156553E-8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1.5807014447201214E-4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2.3015305831653936E-5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1.9076100246674255E-5</v>
      </c>
      <c r="E10" s="422">
        <f>vkm_SW_PW*SUMIFS(TableVerdeelsleutelVkm[LPG],TableVerdeelsleutelVkm[Voertuigtype],"Lichte voertuigen")*SUMIFS(TableECFTransport[EnergieConsumptieFactor (PJ per km)],TableECFTransport[Index],CONCATENATE($A10,"_LPG_LPG"))</f>
        <v>8.4815248970323295E-4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0.15441999488326746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3.701524293858921E-2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8.6595770754754938E-3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8.0674287989007455E-7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0.12028340562811593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3.4181151960418917E-6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5.4310119306925702E-3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16.643438279953035</v>
      </c>
      <c r="C14" s="21"/>
      <c r="D14" s="21">
        <f t="shared" ref="D14:M14" si="0">((D5)*10^9/3600)+D12</f>
        <v>14.927700892745364</v>
      </c>
      <c r="E14" s="21">
        <f t="shared" si="0"/>
        <v>577.16401148179898</v>
      </c>
      <c r="F14" s="21"/>
      <c r="G14" s="21">
        <f t="shared" si="0"/>
        <v>162173.97471352361</v>
      </c>
      <c r="H14" s="21">
        <f t="shared" si="0"/>
        <v>27850.650178877033</v>
      </c>
      <c r="I14" s="21"/>
      <c r="J14" s="21"/>
      <c r="K14" s="21"/>
      <c r="L14" s="21"/>
      <c r="M14" s="21">
        <f t="shared" si="0"/>
        <v>8591.881180360373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0.20780368755296161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3.4585678481343614</v>
      </c>
      <c r="C18" s="23"/>
      <c r="D18" s="23">
        <f t="shared" ref="D18:M18" si="1">D14*D16</f>
        <v>3.0153955803345638</v>
      </c>
      <c r="E18" s="23">
        <f t="shared" si="1"/>
        <v>131.01623060636837</v>
      </c>
      <c r="F18" s="23"/>
      <c r="G18" s="23">
        <f t="shared" si="1"/>
        <v>43300.451248510806</v>
      </c>
      <c r="H18" s="23">
        <f t="shared" si="1"/>
        <v>6934.8118945403812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3.4485463531699582E-5</v>
      </c>
      <c r="C50" s="316">
        <f t="shared" ref="C50:P50" si="2">SUM(C51:C52)</f>
        <v>0</v>
      </c>
      <c r="D50" s="316">
        <f t="shared" si="2"/>
        <v>0</v>
      </c>
      <c r="E50" s="316">
        <f t="shared" si="2"/>
        <v>0</v>
      </c>
      <c r="F50" s="316">
        <f t="shared" si="2"/>
        <v>0</v>
      </c>
      <c r="G50" s="316">
        <f t="shared" si="2"/>
        <v>6.7124003441386857E-3</v>
      </c>
      <c r="H50" s="316">
        <f t="shared" si="2"/>
        <v>0</v>
      </c>
      <c r="I50" s="316">
        <f t="shared" si="2"/>
        <v>0</v>
      </c>
      <c r="J50" s="316">
        <f t="shared" si="2"/>
        <v>0</v>
      </c>
      <c r="K50" s="316">
        <f t="shared" si="2"/>
        <v>0</v>
      </c>
      <c r="L50" s="316">
        <f t="shared" si="2"/>
        <v>0</v>
      </c>
      <c r="M50" s="316">
        <f t="shared" si="2"/>
        <v>3.0098967162841563E-4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3.4485463531699582E-5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6.7124003441386857E-3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3.0098967162841563E-4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9.5792954254721074</v>
      </c>
      <c r="C54" s="21">
        <f t="shared" ref="C54:P54" si="3">(C50)*10^9/3600</f>
        <v>0</v>
      </c>
      <c r="D54" s="21">
        <f t="shared" si="3"/>
        <v>0</v>
      </c>
      <c r="E54" s="21">
        <f t="shared" si="3"/>
        <v>0</v>
      </c>
      <c r="F54" s="21">
        <f t="shared" si="3"/>
        <v>0</v>
      </c>
      <c r="G54" s="21">
        <f t="shared" si="3"/>
        <v>1864.555651149635</v>
      </c>
      <c r="H54" s="21">
        <f t="shared" si="3"/>
        <v>0</v>
      </c>
      <c r="I54" s="21">
        <f t="shared" si="3"/>
        <v>0</v>
      </c>
      <c r="J54" s="21">
        <f t="shared" si="3"/>
        <v>0</v>
      </c>
      <c r="K54" s="21">
        <f t="shared" si="3"/>
        <v>0</v>
      </c>
      <c r="L54" s="21">
        <f t="shared" si="3"/>
        <v>0</v>
      </c>
      <c r="M54" s="21">
        <f t="shared" si="3"/>
        <v>83.608242119004345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0.20780368755296161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1.9906129135723203</v>
      </c>
      <c r="C58" s="23">
        <f t="shared" ref="C58:P58" ca="1" si="4">C54*C56</f>
        <v>0</v>
      </c>
      <c r="D58" s="23">
        <f t="shared" si="4"/>
        <v>0</v>
      </c>
      <c r="E58" s="23">
        <f t="shared" si="4"/>
        <v>0</v>
      </c>
      <c r="F58" s="23">
        <f t="shared" si="4"/>
        <v>0</v>
      </c>
      <c r="G58" s="23">
        <f t="shared" si="4"/>
        <v>497.83635885695259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13172.054112024183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5260.5</v>
      </c>
      <c r="C8" s="546">
        <f>B48</f>
        <v>6188.8235294117649</v>
      </c>
      <c r="D8" s="963"/>
      <c r="E8" s="963">
        <f>E48</f>
        <v>0</v>
      </c>
      <c r="F8" s="964"/>
      <c r="G8" s="547"/>
      <c r="H8" s="963">
        <f>I48</f>
        <v>0</v>
      </c>
      <c r="I8" s="963">
        <f>G48+F48</f>
        <v>0</v>
      </c>
      <c r="J8" s="963">
        <f>H48+D48+C48</f>
        <v>0</v>
      </c>
      <c r="K8" s="963"/>
      <c r="L8" s="963"/>
      <c r="M8" s="963"/>
      <c r="N8" s="548"/>
      <c r="O8" s="549">
        <f>C8*$C$12+D8*$D$12+E8*$E$12+F8*$F$12+G8*$G$12+H8*$H$12+I8*$I$12+J8*$J$12</f>
        <v>1250.1423529411766</v>
      </c>
      <c r="P8" s="1206"/>
      <c r="Q8" s="1207"/>
      <c r="S8" s="975"/>
      <c r="T8" s="1227"/>
      <c r="U8" s="1227"/>
    </row>
    <row r="9" spans="1:21" s="534" customFormat="1" ht="17.45" customHeight="1" thickBot="1">
      <c r="A9" s="550" t="s">
        <v>237</v>
      </c>
      <c r="B9" s="551">
        <f>N36+'Eigen informatie GS &amp; warmtenet'!B12</f>
        <v>1341</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19773.554112024183</v>
      </c>
      <c r="C10" s="559">
        <f t="shared" ref="C10:L10" si="0">SUM(C8:C9)</f>
        <v>6188.8235294117649</v>
      </c>
      <c r="D10" s="559">
        <f t="shared" si="0"/>
        <v>0</v>
      </c>
      <c r="E10" s="559">
        <f t="shared" si="0"/>
        <v>0</v>
      </c>
      <c r="F10" s="559">
        <f t="shared" si="0"/>
        <v>0</v>
      </c>
      <c r="G10" s="559">
        <f t="shared" si="0"/>
        <v>0</v>
      </c>
      <c r="H10" s="559">
        <f t="shared" si="0"/>
        <v>0</v>
      </c>
      <c r="I10" s="559">
        <f t="shared" si="0"/>
        <v>0</v>
      </c>
      <c r="J10" s="559">
        <f t="shared" si="0"/>
        <v>3831.4285714285716</v>
      </c>
      <c r="K10" s="559">
        <f t="shared" si="0"/>
        <v>0</v>
      </c>
      <c r="L10" s="559">
        <f t="shared" si="0"/>
        <v>0</v>
      </c>
      <c r="M10" s="966"/>
      <c r="N10" s="966"/>
      <c r="O10" s="560">
        <f>SUM(O4:O9)</f>
        <v>1250.1423529411766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7515</v>
      </c>
      <c r="C17" s="571">
        <f>B49</f>
        <v>8841.176470588236</v>
      </c>
      <c r="D17" s="572"/>
      <c r="E17" s="572">
        <f>E49</f>
        <v>0</v>
      </c>
      <c r="F17" s="969"/>
      <c r="G17" s="573"/>
      <c r="H17" s="571">
        <f>I49</f>
        <v>0</v>
      </c>
      <c r="I17" s="572">
        <f>G49+F49</f>
        <v>0</v>
      </c>
      <c r="J17" s="572">
        <f>H49+D49+C49</f>
        <v>0</v>
      </c>
      <c r="K17" s="572"/>
      <c r="L17" s="572"/>
      <c r="M17" s="572"/>
      <c r="N17" s="970"/>
      <c r="O17" s="574">
        <f>C17*$C$22+E17*$E$22+H17*$H$22+I17*$I$22+J17*$J$22+D17*$D$22+F17*$F$22+G17*$G$22+K17*$K$22+L17*$L$22</f>
        <v>1785.9176470588238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7515</v>
      </c>
      <c r="C20" s="558">
        <f>SUM(C17:C19)</f>
        <v>8841.176470588236</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1785.9176470588238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13049</v>
      </c>
      <c r="C28" s="741">
        <v>2260</v>
      </c>
      <c r="D28" s="630"/>
      <c r="E28" s="629"/>
      <c r="F28" s="629"/>
      <c r="G28" s="629" t="s">
        <v>908</v>
      </c>
      <c r="H28" s="629" t="s">
        <v>909</v>
      </c>
      <c r="I28" s="629"/>
      <c r="J28" s="740"/>
      <c r="K28" s="740"/>
      <c r="L28" s="629" t="s">
        <v>910</v>
      </c>
      <c r="M28" s="629">
        <v>1169</v>
      </c>
      <c r="N28" s="629">
        <v>5260.5</v>
      </c>
      <c r="O28" s="629">
        <v>7515</v>
      </c>
      <c r="P28" s="629">
        <v>15030.000000000002</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1169</v>
      </c>
      <c r="N29" s="587">
        <f>SUM(N28:N28)</f>
        <v>5260.5</v>
      </c>
      <c r="O29" s="587">
        <f>SUM(O28:O28)</f>
        <v>7515</v>
      </c>
      <c r="P29" s="587">
        <f>SUM(P28:P28)</f>
        <v>15030.000000000002</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1169</v>
      </c>
      <c r="N32" s="592">
        <f>SUMIF($AA$28:$AA$28,"landbouw",N28:N28)</f>
        <v>5260.5</v>
      </c>
      <c r="O32" s="592">
        <f>SUMIF($AA$28:$AA$28,"landbouw",O28:O28)</f>
        <v>7515</v>
      </c>
      <c r="P32" s="592">
        <f>SUMIF($AA$28:$AA$28,"landbouw",P28:P28)</f>
        <v>15030.000000000002</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13049</v>
      </c>
      <c r="C35" s="741">
        <v>2260</v>
      </c>
      <c r="D35" s="632"/>
      <c r="E35" s="632"/>
      <c r="F35" s="632"/>
      <c r="G35" s="632" t="s">
        <v>911</v>
      </c>
      <c r="H35" s="632" t="s">
        <v>912</v>
      </c>
      <c r="I35" s="632"/>
      <c r="J35" s="740"/>
      <c r="K35" s="740"/>
      <c r="L35" s="632" t="s">
        <v>913</v>
      </c>
      <c r="M35" s="632">
        <v>298</v>
      </c>
      <c r="N35" s="632">
        <v>1341</v>
      </c>
      <c r="O35" s="632">
        <v>0</v>
      </c>
      <c r="P35" s="632">
        <v>0</v>
      </c>
      <c r="Q35" s="632">
        <v>3831.4285714285716</v>
      </c>
      <c r="R35" s="632">
        <v>0</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298</v>
      </c>
      <c r="N36" s="587">
        <f>SUM(N35:N35)</f>
        <v>1341</v>
      </c>
      <c r="O36" s="587">
        <f>SUM(O35:O35)</f>
        <v>0</v>
      </c>
      <c r="P36" s="587">
        <f>SUM(P35:P35)</f>
        <v>0</v>
      </c>
      <c r="Q36" s="587">
        <f>SUM(Q35:Q35)</f>
        <v>3831.4285714285716</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298</v>
      </c>
      <c r="N38" s="587">
        <f>SUMIF($AA$35:$AA$36,"tertiair",N35:N36)</f>
        <v>1341</v>
      </c>
      <c r="O38" s="587">
        <f>SUMIF($AA$35:$AA$36,"tertiair",O35:O36)</f>
        <v>0</v>
      </c>
      <c r="P38" s="587">
        <f>SUMIF($AA$35:$AA$36,"tertiair",P35:P36)</f>
        <v>0</v>
      </c>
      <c r="Q38" s="587">
        <f>SUMIF($AA$35:$AA$36,"tertiair",Q35:Q36)</f>
        <v>3831.4285714285716</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6188.8235294117649</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8841.176470588236</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41989.147368094113</v>
      </c>
      <c r="D10" s="640">
        <f ca="1">tertiair!C16</f>
        <v>0</v>
      </c>
      <c r="E10" s="640">
        <f ca="1">tertiair!D16</f>
        <v>39108.331473010076</v>
      </c>
      <c r="F10" s="640">
        <f>tertiair!E16</f>
        <v>221.63889519948918</v>
      </c>
      <c r="G10" s="640">
        <f ca="1">tertiair!F16</f>
        <v>5209.3616249001097</v>
      </c>
      <c r="H10" s="640">
        <f>tertiair!G16</f>
        <v>0</v>
      </c>
      <c r="I10" s="640">
        <f>tertiair!H16</f>
        <v>0</v>
      </c>
      <c r="J10" s="640">
        <f>tertiair!I16</f>
        <v>0</v>
      </c>
      <c r="K10" s="640">
        <f>tertiair!J16</f>
        <v>29.210112019402928</v>
      </c>
      <c r="L10" s="640">
        <f>tertiair!K16</f>
        <v>0</v>
      </c>
      <c r="M10" s="640">
        <f ca="1">tertiair!L16</f>
        <v>0</v>
      </c>
      <c r="N10" s="640">
        <f>tertiair!M16</f>
        <v>0</v>
      </c>
      <c r="O10" s="640">
        <f ca="1">tertiair!N16</f>
        <v>399.80737251534902</v>
      </c>
      <c r="P10" s="640">
        <f>tertiair!O16</f>
        <v>6.2533333333333339</v>
      </c>
      <c r="Q10" s="641">
        <f>tertiair!P16</f>
        <v>0</v>
      </c>
      <c r="R10" s="643">
        <f ca="1">SUM(C10:Q10)</f>
        <v>86963.750179071867</v>
      </c>
      <c r="S10" s="67"/>
    </row>
    <row r="11" spans="1:19" s="444" customFormat="1">
      <c r="A11" s="754" t="s">
        <v>214</v>
      </c>
      <c r="B11" s="759"/>
      <c r="C11" s="640">
        <f>huishoudens!B8</f>
        <v>41091.58007568818</v>
      </c>
      <c r="D11" s="640">
        <f>huishoudens!C8</f>
        <v>0</v>
      </c>
      <c r="E11" s="640">
        <f>huishoudens!D8</f>
        <v>106916.27810629227</v>
      </c>
      <c r="F11" s="640">
        <f>huishoudens!E8</f>
        <v>2331.4534677322613</v>
      </c>
      <c r="G11" s="640">
        <f>huishoudens!F8</f>
        <v>71448.493728652014</v>
      </c>
      <c r="H11" s="640">
        <f>huishoudens!G8</f>
        <v>0</v>
      </c>
      <c r="I11" s="640">
        <f>huishoudens!H8</f>
        <v>0</v>
      </c>
      <c r="J11" s="640">
        <f>huishoudens!I8</f>
        <v>0</v>
      </c>
      <c r="K11" s="640">
        <f>huishoudens!J8</f>
        <v>1353.0922048099603</v>
      </c>
      <c r="L11" s="640">
        <f>huishoudens!K8</f>
        <v>0</v>
      </c>
      <c r="M11" s="640">
        <f>huishoudens!L8</f>
        <v>0</v>
      </c>
      <c r="N11" s="640">
        <f>huishoudens!M8</f>
        <v>0</v>
      </c>
      <c r="O11" s="640">
        <f>huishoudens!N8</f>
        <v>15736.919637649045</v>
      </c>
      <c r="P11" s="640">
        <f>huishoudens!O8</f>
        <v>254.82333333333335</v>
      </c>
      <c r="Q11" s="641">
        <f>huishoudens!P8</f>
        <v>1334.6666666666667</v>
      </c>
      <c r="R11" s="643">
        <f>SUM(C11:Q11)</f>
        <v>240467.30722082374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148490.72598120116</v>
      </c>
      <c r="D13" s="640">
        <f>industrie!C18</f>
        <v>0</v>
      </c>
      <c r="E13" s="640">
        <f>industrie!D18</f>
        <v>69083.809019339926</v>
      </c>
      <c r="F13" s="640">
        <f>industrie!E18</f>
        <v>5934.698088169851</v>
      </c>
      <c r="G13" s="640">
        <f>industrie!F18</f>
        <v>25183.937840687264</v>
      </c>
      <c r="H13" s="640">
        <f>industrie!G18</f>
        <v>0</v>
      </c>
      <c r="I13" s="640">
        <f>industrie!H18</f>
        <v>0</v>
      </c>
      <c r="J13" s="640">
        <f>industrie!I18</f>
        <v>0</v>
      </c>
      <c r="K13" s="640">
        <f>industrie!J18</f>
        <v>236.82378719815367</v>
      </c>
      <c r="L13" s="640">
        <f>industrie!K18</f>
        <v>0</v>
      </c>
      <c r="M13" s="640">
        <f>industrie!L18</f>
        <v>0</v>
      </c>
      <c r="N13" s="640">
        <f>industrie!M18</f>
        <v>0</v>
      </c>
      <c r="O13" s="640">
        <f>industrie!N18</f>
        <v>5975.7113058657233</v>
      </c>
      <c r="P13" s="640">
        <f>industrie!O18</f>
        <v>0</v>
      </c>
      <c r="Q13" s="641">
        <f>industrie!P18</f>
        <v>0</v>
      </c>
      <c r="R13" s="643">
        <f>SUM(C13:Q13)</f>
        <v>254905.70602246205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231571.45342498345</v>
      </c>
      <c r="D16" s="675">
        <f t="shared" ref="D16:R16" ca="1" si="0">SUM(D9:D15)</f>
        <v>0</v>
      </c>
      <c r="E16" s="675">
        <f t="shared" ca="1" si="0"/>
        <v>215108.41859864228</v>
      </c>
      <c r="F16" s="675">
        <f t="shared" si="0"/>
        <v>8487.7904511016022</v>
      </c>
      <c r="G16" s="675">
        <f t="shared" ca="1" si="0"/>
        <v>101841.79319423938</v>
      </c>
      <c r="H16" s="675">
        <f t="shared" si="0"/>
        <v>0</v>
      </c>
      <c r="I16" s="675">
        <f t="shared" si="0"/>
        <v>0</v>
      </c>
      <c r="J16" s="675">
        <f t="shared" si="0"/>
        <v>0</v>
      </c>
      <c r="K16" s="675">
        <f t="shared" si="0"/>
        <v>1619.1261040275169</v>
      </c>
      <c r="L16" s="675">
        <f t="shared" si="0"/>
        <v>0</v>
      </c>
      <c r="M16" s="675">
        <f t="shared" ca="1" si="0"/>
        <v>0</v>
      </c>
      <c r="N16" s="675">
        <f t="shared" si="0"/>
        <v>0</v>
      </c>
      <c r="O16" s="675">
        <f t="shared" ca="1" si="0"/>
        <v>22112.438316030119</v>
      </c>
      <c r="P16" s="675">
        <f t="shared" si="0"/>
        <v>261.07666666666671</v>
      </c>
      <c r="Q16" s="675">
        <f t="shared" si="0"/>
        <v>1334.6666666666667</v>
      </c>
      <c r="R16" s="675">
        <f t="shared" ca="1" si="0"/>
        <v>582336.76342235762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9.5792954254721074</v>
      </c>
      <c r="D19" s="640">
        <f>transport!C54</f>
        <v>0</v>
      </c>
      <c r="E19" s="640">
        <f>transport!D54</f>
        <v>0</v>
      </c>
      <c r="F19" s="640">
        <f>transport!E54</f>
        <v>0</v>
      </c>
      <c r="G19" s="640">
        <f>transport!F54</f>
        <v>0</v>
      </c>
      <c r="H19" s="640">
        <f>transport!G54</f>
        <v>1864.555651149635</v>
      </c>
      <c r="I19" s="640">
        <f>transport!H54</f>
        <v>0</v>
      </c>
      <c r="J19" s="640">
        <f>transport!I54</f>
        <v>0</v>
      </c>
      <c r="K19" s="640">
        <f>transport!J54</f>
        <v>0</v>
      </c>
      <c r="L19" s="640">
        <f>transport!K54</f>
        <v>0</v>
      </c>
      <c r="M19" s="640">
        <f>transport!L54</f>
        <v>0</v>
      </c>
      <c r="N19" s="640">
        <f>transport!M54</f>
        <v>83.608242119004345</v>
      </c>
      <c r="O19" s="640">
        <f>transport!N54</f>
        <v>0</v>
      </c>
      <c r="P19" s="640">
        <f>transport!O54</f>
        <v>0</v>
      </c>
      <c r="Q19" s="641">
        <f>transport!P54</f>
        <v>0</v>
      </c>
      <c r="R19" s="643">
        <f>SUM(C19:Q19)</f>
        <v>1957.7431886941115</v>
      </c>
      <c r="S19" s="67"/>
    </row>
    <row r="20" spans="1:19" s="444" customFormat="1">
      <c r="A20" s="754" t="s">
        <v>296</v>
      </c>
      <c r="B20" s="759"/>
      <c r="C20" s="640">
        <f>transport!B14</f>
        <v>16.643438279953035</v>
      </c>
      <c r="D20" s="640">
        <f>transport!C14</f>
        <v>0</v>
      </c>
      <c r="E20" s="640">
        <f>transport!D14</f>
        <v>14.927700892745364</v>
      </c>
      <c r="F20" s="640">
        <f>transport!E14</f>
        <v>577.16401148179898</v>
      </c>
      <c r="G20" s="640">
        <f>transport!F14</f>
        <v>0</v>
      </c>
      <c r="H20" s="640">
        <f>transport!G14</f>
        <v>162173.97471352361</v>
      </c>
      <c r="I20" s="640">
        <f>transport!H14</f>
        <v>27850.650178877033</v>
      </c>
      <c r="J20" s="640">
        <f>transport!I14</f>
        <v>0</v>
      </c>
      <c r="K20" s="640">
        <f>transport!J14</f>
        <v>0</v>
      </c>
      <c r="L20" s="640">
        <f>transport!K14</f>
        <v>0</v>
      </c>
      <c r="M20" s="640">
        <f>transport!L14</f>
        <v>0</v>
      </c>
      <c r="N20" s="640">
        <f>transport!M14</f>
        <v>8591.881180360373</v>
      </c>
      <c r="O20" s="640">
        <f>transport!N14</f>
        <v>0</v>
      </c>
      <c r="P20" s="640">
        <f>transport!O14</f>
        <v>0</v>
      </c>
      <c r="Q20" s="641">
        <f>transport!P14</f>
        <v>0</v>
      </c>
      <c r="R20" s="643">
        <f>SUM(C20:Q20)</f>
        <v>199225.24122341551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26.222733705425142</v>
      </c>
      <c r="D22" s="757">
        <f t="shared" ref="D22:R22" si="1">SUM(D18:D21)</f>
        <v>0</v>
      </c>
      <c r="E22" s="757">
        <f t="shared" si="1"/>
        <v>14.927700892745364</v>
      </c>
      <c r="F22" s="757">
        <f t="shared" si="1"/>
        <v>577.16401148179898</v>
      </c>
      <c r="G22" s="757">
        <f t="shared" si="1"/>
        <v>0</v>
      </c>
      <c r="H22" s="757">
        <f t="shared" si="1"/>
        <v>164038.53036467324</v>
      </c>
      <c r="I22" s="757">
        <f t="shared" si="1"/>
        <v>27850.650178877033</v>
      </c>
      <c r="J22" s="757">
        <f t="shared" si="1"/>
        <v>0</v>
      </c>
      <c r="K22" s="757">
        <f t="shared" si="1"/>
        <v>0</v>
      </c>
      <c r="L22" s="757">
        <f t="shared" si="1"/>
        <v>0</v>
      </c>
      <c r="M22" s="757">
        <f t="shared" si="1"/>
        <v>0</v>
      </c>
      <c r="N22" s="757">
        <f t="shared" si="1"/>
        <v>8675.489422479377</v>
      </c>
      <c r="O22" s="757">
        <f t="shared" si="1"/>
        <v>0</v>
      </c>
      <c r="P22" s="757">
        <f t="shared" si="1"/>
        <v>0</v>
      </c>
      <c r="Q22" s="757">
        <f t="shared" si="1"/>
        <v>0</v>
      </c>
      <c r="R22" s="757">
        <f t="shared" si="1"/>
        <v>201182.98441210962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3355.0185090780501</v>
      </c>
      <c r="D24" s="640">
        <f>+landbouw!C8</f>
        <v>7515</v>
      </c>
      <c r="E24" s="640">
        <f>+landbouw!D8</f>
        <v>0</v>
      </c>
      <c r="F24" s="640">
        <f>+landbouw!E8</f>
        <v>69.665986910560036</v>
      </c>
      <c r="G24" s="640">
        <f>+landbouw!F8</f>
        <v>11856.721021354733</v>
      </c>
      <c r="H24" s="640">
        <f>+landbouw!G8</f>
        <v>0</v>
      </c>
      <c r="I24" s="640">
        <f>+landbouw!H8</f>
        <v>0</v>
      </c>
      <c r="J24" s="640">
        <f>+landbouw!I8</f>
        <v>0</v>
      </c>
      <c r="K24" s="640">
        <f>+landbouw!J8</f>
        <v>384.79940306844094</v>
      </c>
      <c r="L24" s="640">
        <f>+landbouw!K8</f>
        <v>0</v>
      </c>
      <c r="M24" s="640">
        <f>+landbouw!L8</f>
        <v>0</v>
      </c>
      <c r="N24" s="640">
        <f>+landbouw!M8</f>
        <v>0</v>
      </c>
      <c r="O24" s="640">
        <f>+landbouw!N8</f>
        <v>0</v>
      </c>
      <c r="P24" s="640">
        <f>+landbouw!O8</f>
        <v>0</v>
      </c>
      <c r="Q24" s="641">
        <f>+landbouw!P8</f>
        <v>0</v>
      </c>
      <c r="R24" s="643">
        <f>SUM(C24:Q24)</f>
        <v>23181.204920411787</v>
      </c>
      <c r="S24" s="67"/>
    </row>
    <row r="25" spans="1:19" s="444" customFormat="1" ht="15" thickBot="1">
      <c r="A25" s="776" t="s">
        <v>806</v>
      </c>
      <c r="B25" s="939"/>
      <c r="C25" s="940">
        <f>IF(Onbekend_ele_kWh="---",0,Onbekend_ele_kWh)/1000+IF(REST_rest_ele_kWh="---",0,REST_rest_ele_kWh)/1000</f>
        <v>1462.82810324259</v>
      </c>
      <c r="D25" s="940"/>
      <c r="E25" s="940">
        <f>IF(onbekend_gas_kWh="---",0,onbekend_gas_kWh)/1000+IF(REST_rest_gas_kWh="---",0,REST_rest_gas_kWh)/1000</f>
        <v>4179.7043044071997</v>
      </c>
      <c r="F25" s="940"/>
      <c r="G25" s="940"/>
      <c r="H25" s="940"/>
      <c r="I25" s="940"/>
      <c r="J25" s="940"/>
      <c r="K25" s="940"/>
      <c r="L25" s="940"/>
      <c r="M25" s="940"/>
      <c r="N25" s="940"/>
      <c r="O25" s="940"/>
      <c r="P25" s="940"/>
      <c r="Q25" s="941"/>
      <c r="R25" s="643">
        <f>SUM(C25:Q25)</f>
        <v>5642.53240764979</v>
      </c>
      <c r="S25" s="67"/>
    </row>
    <row r="26" spans="1:19" s="444" customFormat="1" ht="15.75" thickBot="1">
      <c r="A26" s="648" t="s">
        <v>807</v>
      </c>
      <c r="B26" s="762"/>
      <c r="C26" s="757">
        <f>SUM(C24:C25)</f>
        <v>4817.8466123206399</v>
      </c>
      <c r="D26" s="757">
        <f t="shared" ref="D26:R26" si="2">SUM(D24:D25)</f>
        <v>7515</v>
      </c>
      <c r="E26" s="757">
        <f t="shared" si="2"/>
        <v>4179.7043044071997</v>
      </c>
      <c r="F26" s="757">
        <f t="shared" si="2"/>
        <v>69.665986910560036</v>
      </c>
      <c r="G26" s="757">
        <f t="shared" si="2"/>
        <v>11856.721021354733</v>
      </c>
      <c r="H26" s="757">
        <f t="shared" si="2"/>
        <v>0</v>
      </c>
      <c r="I26" s="757">
        <f t="shared" si="2"/>
        <v>0</v>
      </c>
      <c r="J26" s="757">
        <f t="shared" si="2"/>
        <v>0</v>
      </c>
      <c r="K26" s="757">
        <f t="shared" si="2"/>
        <v>384.79940306844094</v>
      </c>
      <c r="L26" s="757">
        <f t="shared" si="2"/>
        <v>0</v>
      </c>
      <c r="M26" s="757">
        <f t="shared" si="2"/>
        <v>0</v>
      </c>
      <c r="N26" s="757">
        <f t="shared" si="2"/>
        <v>0</v>
      </c>
      <c r="O26" s="757">
        <f t="shared" si="2"/>
        <v>0</v>
      </c>
      <c r="P26" s="757">
        <f t="shared" si="2"/>
        <v>0</v>
      </c>
      <c r="Q26" s="757">
        <f t="shared" si="2"/>
        <v>0</v>
      </c>
      <c r="R26" s="757">
        <f t="shared" si="2"/>
        <v>28823.737328061576</v>
      </c>
      <c r="S26" s="67"/>
    </row>
    <row r="27" spans="1:19" s="444" customFormat="1" ht="17.25" thickTop="1" thickBot="1">
      <c r="A27" s="649" t="s">
        <v>109</v>
      </c>
      <c r="B27" s="749"/>
      <c r="C27" s="650">
        <f ca="1">C22+C16+C26</f>
        <v>236415.52277100951</v>
      </c>
      <c r="D27" s="650">
        <f t="shared" ref="D27:R27" ca="1" si="3">D22+D16+D26</f>
        <v>7515</v>
      </c>
      <c r="E27" s="650">
        <f t="shared" ca="1" si="3"/>
        <v>219303.05060394222</v>
      </c>
      <c r="F27" s="650">
        <f t="shared" si="3"/>
        <v>9134.6204494939611</v>
      </c>
      <c r="G27" s="650">
        <f t="shared" ca="1" si="3"/>
        <v>113698.51421559411</v>
      </c>
      <c r="H27" s="650">
        <f t="shared" si="3"/>
        <v>164038.53036467324</v>
      </c>
      <c r="I27" s="650">
        <f t="shared" si="3"/>
        <v>27850.650178877033</v>
      </c>
      <c r="J27" s="650">
        <f t="shared" si="3"/>
        <v>0</v>
      </c>
      <c r="K27" s="650">
        <f t="shared" si="3"/>
        <v>2003.925507095958</v>
      </c>
      <c r="L27" s="650">
        <f t="shared" si="3"/>
        <v>0</v>
      </c>
      <c r="M27" s="650">
        <f t="shared" ca="1" si="3"/>
        <v>0</v>
      </c>
      <c r="N27" s="650">
        <f t="shared" si="3"/>
        <v>8675.489422479377</v>
      </c>
      <c r="O27" s="650">
        <f t="shared" ca="1" si="3"/>
        <v>22112.438316030119</v>
      </c>
      <c r="P27" s="650">
        <f t="shared" si="3"/>
        <v>261.07666666666671</v>
      </c>
      <c r="Q27" s="650">
        <f t="shared" si="3"/>
        <v>1334.6666666666667</v>
      </c>
      <c r="R27" s="650">
        <f t="shared" ca="1" si="3"/>
        <v>812343.48516252881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8725.4996602946903</v>
      </c>
      <c r="D40" s="640">
        <f ca="1">tertiair!C20</f>
        <v>0</v>
      </c>
      <c r="E40" s="640">
        <f ca="1">tertiair!D20</f>
        <v>7899.8829575480358</v>
      </c>
      <c r="F40" s="640">
        <f>tertiair!E20</f>
        <v>50.312029210284045</v>
      </c>
      <c r="G40" s="640">
        <f ca="1">tertiair!F20</f>
        <v>1390.8995538483293</v>
      </c>
      <c r="H40" s="640">
        <f>tertiair!G20</f>
        <v>0</v>
      </c>
      <c r="I40" s="640">
        <f>tertiair!H20</f>
        <v>0</v>
      </c>
      <c r="J40" s="640">
        <f>tertiair!I20</f>
        <v>0</v>
      </c>
      <c r="K40" s="640">
        <f>tertiair!J20</f>
        <v>10.340379654868636</v>
      </c>
      <c r="L40" s="640">
        <f>tertiair!K20</f>
        <v>0</v>
      </c>
      <c r="M40" s="640">
        <f ca="1">tertiair!L20</f>
        <v>0</v>
      </c>
      <c r="N40" s="640">
        <f>tertiair!M20</f>
        <v>0</v>
      </c>
      <c r="O40" s="640">
        <f ca="1">tertiair!N20</f>
        <v>0</v>
      </c>
      <c r="P40" s="640">
        <f>tertiair!O20</f>
        <v>0</v>
      </c>
      <c r="Q40" s="717">
        <f>tertiair!P20</f>
        <v>0</v>
      </c>
      <c r="R40" s="795">
        <f t="shared" ca="1" si="4"/>
        <v>18076.934580556208</v>
      </c>
    </row>
    <row r="41" spans="1:18">
      <c r="A41" s="767" t="s">
        <v>214</v>
      </c>
      <c r="B41" s="774"/>
      <c r="C41" s="640">
        <f ca="1">huishoudens!B12</f>
        <v>8538.9818671058092</v>
      </c>
      <c r="D41" s="640">
        <f ca="1">huishoudens!C12</f>
        <v>0</v>
      </c>
      <c r="E41" s="640">
        <f>huishoudens!D12</f>
        <v>21597.08817747104</v>
      </c>
      <c r="F41" s="640">
        <f>huishoudens!E12</f>
        <v>529.2399371752233</v>
      </c>
      <c r="G41" s="640">
        <f>huishoudens!F12</f>
        <v>19076.74782555009</v>
      </c>
      <c r="H41" s="640">
        <f>huishoudens!G12</f>
        <v>0</v>
      </c>
      <c r="I41" s="640">
        <f>huishoudens!H12</f>
        <v>0</v>
      </c>
      <c r="J41" s="640">
        <f>huishoudens!I12</f>
        <v>0</v>
      </c>
      <c r="K41" s="640">
        <f>huishoudens!J12</f>
        <v>478.99464050272593</v>
      </c>
      <c r="L41" s="640">
        <f>huishoudens!K12</f>
        <v>0</v>
      </c>
      <c r="M41" s="640">
        <f>huishoudens!L12</f>
        <v>0</v>
      </c>
      <c r="N41" s="640">
        <f>huishoudens!M12</f>
        <v>0</v>
      </c>
      <c r="O41" s="640">
        <f>huishoudens!N12</f>
        <v>0</v>
      </c>
      <c r="P41" s="640">
        <f>huishoudens!O12</f>
        <v>0</v>
      </c>
      <c r="Q41" s="717">
        <f>huishoudens!P12</f>
        <v>0</v>
      </c>
      <c r="R41" s="795">
        <f t="shared" ca="1" si="4"/>
        <v>50221.05244780489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30856.920426309964</v>
      </c>
      <c r="D43" s="640">
        <f ca="1">industrie!C22</f>
        <v>0</v>
      </c>
      <c r="E43" s="640">
        <f>industrie!D22</f>
        <v>13954.929421906665</v>
      </c>
      <c r="F43" s="640">
        <f>industrie!E22</f>
        <v>1347.1764660145561</v>
      </c>
      <c r="G43" s="640">
        <f>industrie!F22</f>
        <v>6724.1114034635002</v>
      </c>
      <c r="H43" s="640">
        <f>industrie!G22</f>
        <v>0</v>
      </c>
      <c r="I43" s="640">
        <f>industrie!H22</f>
        <v>0</v>
      </c>
      <c r="J43" s="640">
        <f>industrie!I22</f>
        <v>0</v>
      </c>
      <c r="K43" s="640">
        <f>industrie!J22</f>
        <v>83.83562066814639</v>
      </c>
      <c r="L43" s="640">
        <f>industrie!K22</f>
        <v>0</v>
      </c>
      <c r="M43" s="640">
        <f>industrie!L22</f>
        <v>0</v>
      </c>
      <c r="N43" s="640">
        <f>industrie!M22</f>
        <v>0</v>
      </c>
      <c r="O43" s="640">
        <f>industrie!N22</f>
        <v>0</v>
      </c>
      <c r="P43" s="640">
        <f>industrie!O22</f>
        <v>0</v>
      </c>
      <c r="Q43" s="717">
        <f>industrie!P22</f>
        <v>0</v>
      </c>
      <c r="R43" s="794">
        <f t="shared" ca="1" si="4"/>
        <v>52966.973338362841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48121.401953710461</v>
      </c>
      <c r="D46" s="675">
        <f t="shared" ref="D46:Q46" ca="1" si="5">SUM(D39:D45)</f>
        <v>0</v>
      </c>
      <c r="E46" s="675">
        <f t="shared" ca="1" si="5"/>
        <v>43451.900556925742</v>
      </c>
      <c r="F46" s="675">
        <f t="shared" si="5"/>
        <v>1926.7284324000634</v>
      </c>
      <c r="G46" s="675">
        <f t="shared" ca="1" si="5"/>
        <v>27191.758782861918</v>
      </c>
      <c r="H46" s="675">
        <f t="shared" si="5"/>
        <v>0</v>
      </c>
      <c r="I46" s="675">
        <f t="shared" si="5"/>
        <v>0</v>
      </c>
      <c r="J46" s="675">
        <f t="shared" si="5"/>
        <v>0</v>
      </c>
      <c r="K46" s="675">
        <f t="shared" si="5"/>
        <v>573.17064082574097</v>
      </c>
      <c r="L46" s="675">
        <f t="shared" si="5"/>
        <v>0</v>
      </c>
      <c r="M46" s="675">
        <f t="shared" ca="1" si="5"/>
        <v>0</v>
      </c>
      <c r="N46" s="675">
        <f t="shared" si="5"/>
        <v>0</v>
      </c>
      <c r="O46" s="675">
        <f t="shared" ca="1" si="5"/>
        <v>0</v>
      </c>
      <c r="P46" s="675">
        <f t="shared" si="5"/>
        <v>0</v>
      </c>
      <c r="Q46" s="675">
        <f t="shared" si="5"/>
        <v>0</v>
      </c>
      <c r="R46" s="675">
        <f ca="1">SUM(R39:R45)</f>
        <v>121264.96036672394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1.9906129135723203</v>
      </c>
      <c r="D49" s="640">
        <f ca="1">transport!C58</f>
        <v>0</v>
      </c>
      <c r="E49" s="640">
        <f>transport!D58</f>
        <v>0</v>
      </c>
      <c r="F49" s="640">
        <f>transport!E58</f>
        <v>0</v>
      </c>
      <c r="G49" s="640">
        <f>transport!F58</f>
        <v>0</v>
      </c>
      <c r="H49" s="640">
        <f>transport!G58</f>
        <v>497.83635885695259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499.82697177052489</v>
      </c>
    </row>
    <row r="50" spans="1:18">
      <c r="A50" s="770" t="s">
        <v>296</v>
      </c>
      <c r="B50" s="780"/>
      <c r="C50" s="646">
        <f ca="1">transport!B18</f>
        <v>3.4585678481343614</v>
      </c>
      <c r="D50" s="646">
        <f>transport!C18</f>
        <v>0</v>
      </c>
      <c r="E50" s="646">
        <f>transport!D18</f>
        <v>3.0153955803345638</v>
      </c>
      <c r="F50" s="646">
        <f>transport!E18</f>
        <v>131.01623060636837</v>
      </c>
      <c r="G50" s="646">
        <f>transport!F18</f>
        <v>0</v>
      </c>
      <c r="H50" s="646">
        <f>transport!G18</f>
        <v>43300.451248510806</v>
      </c>
      <c r="I50" s="646">
        <f>transport!H18</f>
        <v>6934.8118945403812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50372.753337086026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5.4491807617066819</v>
      </c>
      <c r="D52" s="675">
        <f t="shared" ref="D52:Q52" ca="1" si="6">SUM(D48:D51)</f>
        <v>0</v>
      </c>
      <c r="E52" s="675">
        <f t="shared" si="6"/>
        <v>3.0153955803345638</v>
      </c>
      <c r="F52" s="675">
        <f t="shared" si="6"/>
        <v>131.01623060636837</v>
      </c>
      <c r="G52" s="675">
        <f t="shared" si="6"/>
        <v>0</v>
      </c>
      <c r="H52" s="675">
        <f t="shared" si="6"/>
        <v>43798.287607367762</v>
      </c>
      <c r="I52" s="675">
        <f t="shared" si="6"/>
        <v>6934.8118945403812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50872.580308856552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697.18521799485825</v>
      </c>
      <c r="D54" s="646">
        <f ca="1">+landbouw!C12</f>
        <v>1785.9176470588238</v>
      </c>
      <c r="E54" s="646">
        <f>+landbouw!D12</f>
        <v>0</v>
      </c>
      <c r="F54" s="646">
        <f>+landbouw!E12</f>
        <v>15.814179028697129</v>
      </c>
      <c r="G54" s="646">
        <f>+landbouw!F12</f>
        <v>3165.744512701714</v>
      </c>
      <c r="H54" s="646">
        <f>+landbouw!G12</f>
        <v>0</v>
      </c>
      <c r="I54" s="646">
        <f>+landbouw!H12</f>
        <v>0</v>
      </c>
      <c r="J54" s="646">
        <f>+landbouw!I12</f>
        <v>0</v>
      </c>
      <c r="K54" s="646">
        <f>+landbouw!J12</f>
        <v>136.21898868622807</v>
      </c>
      <c r="L54" s="646">
        <f>+landbouw!K12</f>
        <v>0</v>
      </c>
      <c r="M54" s="646">
        <f>+landbouw!L12</f>
        <v>0</v>
      </c>
      <c r="N54" s="646">
        <f>+landbouw!M12</f>
        <v>0</v>
      </c>
      <c r="O54" s="646">
        <f>+landbouw!N12</f>
        <v>0</v>
      </c>
      <c r="P54" s="646">
        <f>+landbouw!O12</f>
        <v>0</v>
      </c>
      <c r="Q54" s="647">
        <f>+landbouw!P12</f>
        <v>0</v>
      </c>
      <c r="R54" s="674">
        <f ca="1">SUM(C54:Q54)</f>
        <v>5800.8805454703206</v>
      </c>
    </row>
    <row r="55" spans="1:18" ht="15" thickBot="1">
      <c r="A55" s="770" t="s">
        <v>806</v>
      </c>
      <c r="B55" s="780"/>
      <c r="C55" s="646">
        <f ca="1">C25*'EF ele_warmte'!B12</f>
        <v>303.98107410991463</v>
      </c>
      <c r="D55" s="646"/>
      <c r="E55" s="646">
        <f>E25*EF_CO2_aardgas</f>
        <v>844.30026949025444</v>
      </c>
      <c r="F55" s="646"/>
      <c r="G55" s="646"/>
      <c r="H55" s="646"/>
      <c r="I55" s="646"/>
      <c r="J55" s="646"/>
      <c r="K55" s="646"/>
      <c r="L55" s="646"/>
      <c r="M55" s="646"/>
      <c r="N55" s="646"/>
      <c r="O55" s="646"/>
      <c r="P55" s="646"/>
      <c r="Q55" s="647"/>
      <c r="R55" s="674">
        <f ca="1">SUM(C55:Q55)</f>
        <v>1148.2813436001691</v>
      </c>
    </row>
    <row r="56" spans="1:18" ht="15.75" thickBot="1">
      <c r="A56" s="768" t="s">
        <v>807</v>
      </c>
      <c r="B56" s="781"/>
      <c r="C56" s="675">
        <f ca="1">SUM(C54:C55)</f>
        <v>1001.1662921047729</v>
      </c>
      <c r="D56" s="675">
        <f t="shared" ref="D56:Q56" ca="1" si="7">SUM(D54:D55)</f>
        <v>1785.9176470588238</v>
      </c>
      <c r="E56" s="675">
        <f t="shared" si="7"/>
        <v>844.30026949025444</v>
      </c>
      <c r="F56" s="675">
        <f t="shared" si="7"/>
        <v>15.814179028697129</v>
      </c>
      <c r="G56" s="675">
        <f t="shared" si="7"/>
        <v>3165.744512701714</v>
      </c>
      <c r="H56" s="675">
        <f t="shared" si="7"/>
        <v>0</v>
      </c>
      <c r="I56" s="675">
        <f t="shared" si="7"/>
        <v>0</v>
      </c>
      <c r="J56" s="675">
        <f t="shared" si="7"/>
        <v>0</v>
      </c>
      <c r="K56" s="675">
        <f t="shared" si="7"/>
        <v>136.21898868622807</v>
      </c>
      <c r="L56" s="675">
        <f t="shared" si="7"/>
        <v>0</v>
      </c>
      <c r="M56" s="675">
        <f t="shared" si="7"/>
        <v>0</v>
      </c>
      <c r="N56" s="675">
        <f t="shared" si="7"/>
        <v>0</v>
      </c>
      <c r="O56" s="675">
        <f t="shared" si="7"/>
        <v>0</v>
      </c>
      <c r="P56" s="675">
        <f t="shared" si="7"/>
        <v>0</v>
      </c>
      <c r="Q56" s="676">
        <f t="shared" si="7"/>
        <v>0</v>
      </c>
      <c r="R56" s="677">
        <f ca="1">SUM(R54:R55)</f>
        <v>6949.1618890704895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49128.017426576946</v>
      </c>
      <c r="D61" s="683">
        <f t="shared" ref="D61:Q61" ca="1" si="8">D46+D52+D56</f>
        <v>1785.9176470588238</v>
      </c>
      <c r="E61" s="683">
        <f t="shared" ca="1" si="8"/>
        <v>44299.216221996328</v>
      </c>
      <c r="F61" s="683">
        <f t="shared" si="8"/>
        <v>2073.5588420351291</v>
      </c>
      <c r="G61" s="683">
        <f t="shared" ca="1" si="8"/>
        <v>30357.503295563631</v>
      </c>
      <c r="H61" s="683">
        <f t="shared" si="8"/>
        <v>43798.287607367762</v>
      </c>
      <c r="I61" s="683">
        <f t="shared" si="8"/>
        <v>6934.8118945403812</v>
      </c>
      <c r="J61" s="683">
        <f t="shared" si="8"/>
        <v>0</v>
      </c>
      <c r="K61" s="683">
        <f t="shared" si="8"/>
        <v>709.38962951196902</v>
      </c>
      <c r="L61" s="683">
        <f t="shared" si="8"/>
        <v>0</v>
      </c>
      <c r="M61" s="683">
        <f t="shared" ca="1" si="8"/>
        <v>0</v>
      </c>
      <c r="N61" s="683">
        <f t="shared" si="8"/>
        <v>0</v>
      </c>
      <c r="O61" s="683">
        <f t="shared" ca="1" si="8"/>
        <v>0</v>
      </c>
      <c r="P61" s="683">
        <f t="shared" si="8"/>
        <v>0</v>
      </c>
      <c r="Q61" s="683">
        <f t="shared" si="8"/>
        <v>0</v>
      </c>
      <c r="R61" s="683">
        <f ca="1">R46+R52+R56</f>
        <v>179086.702564651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0.20780368755296164</v>
      </c>
      <c r="D63" s="726">
        <f t="shared" ca="1" si="9"/>
        <v>0.23764705882352946</v>
      </c>
      <c r="E63" s="946">
        <f t="shared" ca="1" si="9"/>
        <v>0.20200000000000001</v>
      </c>
      <c r="F63" s="726">
        <f t="shared" si="9"/>
        <v>0.22700000000000001</v>
      </c>
      <c r="G63" s="726">
        <f t="shared" ca="1" si="9"/>
        <v>0.26700000000000002</v>
      </c>
      <c r="H63" s="726">
        <f t="shared" si="9"/>
        <v>0.26700000000000007</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13172.054112024183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5260.5</v>
      </c>
      <c r="D76" s="956">
        <f>'lokale energieproductie'!C8</f>
        <v>6188.8235294117649</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1250.1423529411766</v>
      </c>
      <c r="R76" s="797">
        <v>0</v>
      </c>
    </row>
    <row r="77" spans="1:18" ht="30.75" thickBot="1">
      <c r="A77" s="696" t="s">
        <v>340</v>
      </c>
      <c r="B77" s="693">
        <f>'lokale energieproductie'!B9*IFERROR(SUM(I77:O77)/SUM(D77:O77),0)</f>
        <v>1341</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3831.4285714285716</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14513.054112024183</v>
      </c>
      <c r="C78" s="698">
        <f>SUM(C72:C77)</f>
        <v>5260.5</v>
      </c>
      <c r="D78" s="699">
        <f t="shared" ref="D78:H78" si="10">SUM(D76:D77)</f>
        <v>6188.8235294117649</v>
      </c>
      <c r="E78" s="699">
        <f t="shared" si="10"/>
        <v>0</v>
      </c>
      <c r="F78" s="699">
        <f t="shared" si="10"/>
        <v>0</v>
      </c>
      <c r="G78" s="699">
        <f t="shared" si="10"/>
        <v>0</v>
      </c>
      <c r="H78" s="699">
        <f t="shared" si="10"/>
        <v>0</v>
      </c>
      <c r="I78" s="699">
        <f>SUM(I76:I77)</f>
        <v>0</v>
      </c>
      <c r="J78" s="699">
        <f>SUM(J76:J77)</f>
        <v>3831.4285714285716</v>
      </c>
      <c r="K78" s="699">
        <f t="shared" ref="K78:L78" si="11">SUM(K76:K77)</f>
        <v>0</v>
      </c>
      <c r="L78" s="699">
        <f t="shared" si="11"/>
        <v>0</v>
      </c>
      <c r="M78" s="699">
        <f>SUM(M76:M77)</f>
        <v>0</v>
      </c>
      <c r="N78" s="699">
        <f>SUM(N76:N77)</f>
        <v>0</v>
      </c>
      <c r="O78" s="805">
        <f>SUM(O76:O77)</f>
        <v>0</v>
      </c>
      <c r="P78" s="700">
        <v>0</v>
      </c>
      <c r="Q78" s="700">
        <f>SUM(Q76:Q77)</f>
        <v>1250.1423529411766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7515</v>
      </c>
      <c r="D87" s="720">
        <f>'lokale energieproductie'!C17</f>
        <v>8841.176470588236</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1785.9176470588238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7515</v>
      </c>
      <c r="D90" s="698">
        <f t="shared" ref="D90:H90" si="12">SUM(D87:D89)</f>
        <v>8841.176470588236</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1785.9176470588238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41091.58007568818</v>
      </c>
      <c r="C4" s="448">
        <f>huishoudens!C8</f>
        <v>0</v>
      </c>
      <c r="D4" s="448">
        <f>huishoudens!D8</f>
        <v>106916.27810629227</v>
      </c>
      <c r="E4" s="448">
        <f>huishoudens!E8</f>
        <v>2331.4534677322613</v>
      </c>
      <c r="F4" s="448">
        <f>huishoudens!F8</f>
        <v>71448.493728652014</v>
      </c>
      <c r="G4" s="448">
        <f>huishoudens!G8</f>
        <v>0</v>
      </c>
      <c r="H4" s="448">
        <f>huishoudens!H8</f>
        <v>0</v>
      </c>
      <c r="I4" s="448">
        <f>huishoudens!I8</f>
        <v>0</v>
      </c>
      <c r="J4" s="448">
        <f>huishoudens!J8</f>
        <v>1353.0922048099603</v>
      </c>
      <c r="K4" s="448">
        <f>huishoudens!K8</f>
        <v>0</v>
      </c>
      <c r="L4" s="448">
        <f>huishoudens!L8</f>
        <v>0</v>
      </c>
      <c r="M4" s="448">
        <f>huishoudens!M8</f>
        <v>0</v>
      </c>
      <c r="N4" s="448">
        <f>huishoudens!N8</f>
        <v>15736.919637649045</v>
      </c>
      <c r="O4" s="448">
        <f>huishoudens!O8</f>
        <v>254.82333333333335</v>
      </c>
      <c r="P4" s="449">
        <f>huishoudens!P8</f>
        <v>1334.6666666666667</v>
      </c>
      <c r="Q4" s="450">
        <f>SUM(B4:P4)</f>
        <v>240467.30722082374</v>
      </c>
    </row>
    <row r="5" spans="1:17">
      <c r="A5" s="447" t="s">
        <v>149</v>
      </c>
      <c r="B5" s="448">
        <f ca="1">tertiair!B16</f>
        <v>39870.386368094114</v>
      </c>
      <c r="C5" s="448">
        <f ca="1">tertiair!C16</f>
        <v>0</v>
      </c>
      <c r="D5" s="448">
        <f ca="1">tertiair!D16</f>
        <v>39108.331473010076</v>
      </c>
      <c r="E5" s="448">
        <f>tertiair!E16</f>
        <v>221.63889519948918</v>
      </c>
      <c r="F5" s="448">
        <f ca="1">tertiair!F16</f>
        <v>5209.3616249001097</v>
      </c>
      <c r="G5" s="448">
        <f>tertiair!G16</f>
        <v>0</v>
      </c>
      <c r="H5" s="448">
        <f>tertiair!H16</f>
        <v>0</v>
      </c>
      <c r="I5" s="448">
        <f>tertiair!I16</f>
        <v>0</v>
      </c>
      <c r="J5" s="448">
        <f>tertiair!J16</f>
        <v>29.210112019402928</v>
      </c>
      <c r="K5" s="448">
        <f>tertiair!K16</f>
        <v>0</v>
      </c>
      <c r="L5" s="448">
        <f ca="1">tertiair!L16</f>
        <v>0</v>
      </c>
      <c r="M5" s="448">
        <f>tertiair!M16</f>
        <v>0</v>
      </c>
      <c r="N5" s="448">
        <f ca="1">tertiair!N16</f>
        <v>399.80737251534902</v>
      </c>
      <c r="O5" s="448">
        <f>tertiair!O16</f>
        <v>6.2533333333333339</v>
      </c>
      <c r="P5" s="449">
        <f>tertiair!P16</f>
        <v>0</v>
      </c>
      <c r="Q5" s="447">
        <f t="shared" ref="Q5:Q14" ca="1" si="0">SUM(B5:P5)</f>
        <v>84844.989179071868</v>
      </c>
    </row>
    <row r="6" spans="1:17">
      <c r="A6" s="447" t="s">
        <v>187</v>
      </c>
      <c r="B6" s="448">
        <f>'openbare verlichting'!B8</f>
        <v>2118.761</v>
      </c>
      <c r="C6" s="448"/>
      <c r="D6" s="448"/>
      <c r="E6" s="448"/>
      <c r="F6" s="448"/>
      <c r="G6" s="448"/>
      <c r="H6" s="448"/>
      <c r="I6" s="448"/>
      <c r="J6" s="448"/>
      <c r="K6" s="448"/>
      <c r="L6" s="448"/>
      <c r="M6" s="448"/>
      <c r="N6" s="448"/>
      <c r="O6" s="448"/>
      <c r="P6" s="449"/>
      <c r="Q6" s="447">
        <f t="shared" si="0"/>
        <v>2118.761</v>
      </c>
    </row>
    <row r="7" spans="1:17">
      <c r="A7" s="447" t="s">
        <v>105</v>
      </c>
      <c r="B7" s="448">
        <f>landbouw!B8</f>
        <v>3355.0185090780501</v>
      </c>
      <c r="C7" s="448">
        <f>landbouw!C8</f>
        <v>7515</v>
      </c>
      <c r="D7" s="448">
        <f>landbouw!D8</f>
        <v>0</v>
      </c>
      <c r="E7" s="448">
        <f>landbouw!E8</f>
        <v>69.665986910560036</v>
      </c>
      <c r="F7" s="448">
        <f>landbouw!F8</f>
        <v>11856.721021354733</v>
      </c>
      <c r="G7" s="448">
        <f>landbouw!G8</f>
        <v>0</v>
      </c>
      <c r="H7" s="448">
        <f>landbouw!H8</f>
        <v>0</v>
      </c>
      <c r="I7" s="448">
        <f>landbouw!I8</f>
        <v>0</v>
      </c>
      <c r="J7" s="448">
        <f>landbouw!J8</f>
        <v>384.79940306844094</v>
      </c>
      <c r="K7" s="448">
        <f>landbouw!K8</f>
        <v>0</v>
      </c>
      <c r="L7" s="448">
        <f>landbouw!L8</f>
        <v>0</v>
      </c>
      <c r="M7" s="448">
        <f>landbouw!M8</f>
        <v>0</v>
      </c>
      <c r="N7" s="448">
        <f>landbouw!N8</f>
        <v>0</v>
      </c>
      <c r="O7" s="448">
        <f>landbouw!O8</f>
        <v>0</v>
      </c>
      <c r="P7" s="449">
        <f>landbouw!P8</f>
        <v>0</v>
      </c>
      <c r="Q7" s="447">
        <f t="shared" si="0"/>
        <v>23181.204920411787</v>
      </c>
    </row>
    <row r="8" spans="1:17">
      <c r="A8" s="447" t="s">
        <v>614</v>
      </c>
      <c r="B8" s="448">
        <f>industrie!B18</f>
        <v>148490.72598120116</v>
      </c>
      <c r="C8" s="448">
        <f>industrie!C18</f>
        <v>0</v>
      </c>
      <c r="D8" s="448">
        <f>industrie!D18</f>
        <v>69083.809019339926</v>
      </c>
      <c r="E8" s="448">
        <f>industrie!E18</f>
        <v>5934.698088169851</v>
      </c>
      <c r="F8" s="448">
        <f>industrie!F18</f>
        <v>25183.937840687264</v>
      </c>
      <c r="G8" s="448">
        <f>industrie!G18</f>
        <v>0</v>
      </c>
      <c r="H8" s="448">
        <f>industrie!H18</f>
        <v>0</v>
      </c>
      <c r="I8" s="448">
        <f>industrie!I18</f>
        <v>0</v>
      </c>
      <c r="J8" s="448">
        <f>industrie!J18</f>
        <v>236.82378719815367</v>
      </c>
      <c r="K8" s="448">
        <f>industrie!K18</f>
        <v>0</v>
      </c>
      <c r="L8" s="448">
        <f>industrie!L18</f>
        <v>0</v>
      </c>
      <c r="M8" s="448">
        <f>industrie!M18</f>
        <v>0</v>
      </c>
      <c r="N8" s="448">
        <f>industrie!N18</f>
        <v>5975.7113058657233</v>
      </c>
      <c r="O8" s="448">
        <f>industrie!O18</f>
        <v>0</v>
      </c>
      <c r="P8" s="449">
        <f>industrie!P18</f>
        <v>0</v>
      </c>
      <c r="Q8" s="447">
        <f t="shared" si="0"/>
        <v>254905.70602246205</v>
      </c>
    </row>
    <row r="9" spans="1:17" s="453" customFormat="1">
      <c r="A9" s="451" t="s">
        <v>555</v>
      </c>
      <c r="B9" s="452">
        <f>transport!B14</f>
        <v>16.643438279953035</v>
      </c>
      <c r="C9" s="452">
        <f>transport!C14</f>
        <v>0</v>
      </c>
      <c r="D9" s="452">
        <f>transport!D14</f>
        <v>14.927700892745364</v>
      </c>
      <c r="E9" s="452">
        <f>transport!E14</f>
        <v>577.16401148179898</v>
      </c>
      <c r="F9" s="452">
        <f>transport!F14</f>
        <v>0</v>
      </c>
      <c r="G9" s="452">
        <f>transport!G14</f>
        <v>162173.97471352361</v>
      </c>
      <c r="H9" s="452">
        <f>transport!H14</f>
        <v>27850.650178877033</v>
      </c>
      <c r="I9" s="452">
        <f>transport!I14</f>
        <v>0</v>
      </c>
      <c r="J9" s="452">
        <f>transport!J14</f>
        <v>0</v>
      </c>
      <c r="K9" s="452">
        <f>transport!K14</f>
        <v>0</v>
      </c>
      <c r="L9" s="452">
        <f>transport!L14</f>
        <v>0</v>
      </c>
      <c r="M9" s="452">
        <f>transport!M14</f>
        <v>8591.881180360373</v>
      </c>
      <c r="N9" s="452">
        <f>transport!N14</f>
        <v>0</v>
      </c>
      <c r="O9" s="452">
        <f>transport!O14</f>
        <v>0</v>
      </c>
      <c r="P9" s="452">
        <f>transport!P14</f>
        <v>0</v>
      </c>
      <c r="Q9" s="451">
        <f>SUM(B9:P9)</f>
        <v>199225.24122341551</v>
      </c>
    </row>
    <row r="10" spans="1:17">
      <c r="A10" s="447" t="s">
        <v>545</v>
      </c>
      <c r="B10" s="448">
        <f>transport!B54</f>
        <v>9.5792954254721074</v>
      </c>
      <c r="C10" s="448">
        <f>transport!C54</f>
        <v>0</v>
      </c>
      <c r="D10" s="448">
        <f>transport!D54</f>
        <v>0</v>
      </c>
      <c r="E10" s="448">
        <f>transport!E54</f>
        <v>0</v>
      </c>
      <c r="F10" s="448">
        <f>transport!F54</f>
        <v>0</v>
      </c>
      <c r="G10" s="448">
        <f>transport!G54</f>
        <v>1864.555651149635</v>
      </c>
      <c r="H10" s="448">
        <f>transport!H54</f>
        <v>0</v>
      </c>
      <c r="I10" s="448">
        <f>transport!I54</f>
        <v>0</v>
      </c>
      <c r="J10" s="448">
        <f>transport!J54</f>
        <v>0</v>
      </c>
      <c r="K10" s="448">
        <f>transport!K54</f>
        <v>0</v>
      </c>
      <c r="L10" s="448">
        <f>transport!L54</f>
        <v>0</v>
      </c>
      <c r="M10" s="448">
        <f>transport!M54</f>
        <v>83.608242119004345</v>
      </c>
      <c r="N10" s="448">
        <f>transport!N54</f>
        <v>0</v>
      </c>
      <c r="O10" s="448">
        <f>transport!O54</f>
        <v>0</v>
      </c>
      <c r="P10" s="449">
        <f>transport!P54</f>
        <v>0</v>
      </c>
      <c r="Q10" s="447">
        <f t="shared" si="0"/>
        <v>1957.7431886941115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1462.82810324259</v>
      </c>
      <c r="C14" s="455"/>
      <c r="D14" s="455">
        <f>'SEAP template'!E25</f>
        <v>4179.7043044071997</v>
      </c>
      <c r="E14" s="455"/>
      <c r="F14" s="455"/>
      <c r="G14" s="455"/>
      <c r="H14" s="455"/>
      <c r="I14" s="455"/>
      <c r="J14" s="455"/>
      <c r="K14" s="455"/>
      <c r="L14" s="455"/>
      <c r="M14" s="455"/>
      <c r="N14" s="455"/>
      <c r="O14" s="455"/>
      <c r="P14" s="456"/>
      <c r="Q14" s="447">
        <f t="shared" si="0"/>
        <v>5642.53240764979</v>
      </c>
    </row>
    <row r="15" spans="1:17" s="460" customFormat="1">
      <c r="A15" s="457" t="s">
        <v>549</v>
      </c>
      <c r="B15" s="458">
        <f ca="1">SUM(B4:B14)</f>
        <v>236415.52277100951</v>
      </c>
      <c r="C15" s="458">
        <f t="shared" ref="C15:Q15" ca="1" si="1">SUM(C4:C14)</f>
        <v>7515</v>
      </c>
      <c r="D15" s="458">
        <f t="shared" ca="1" si="1"/>
        <v>219303.05060394222</v>
      </c>
      <c r="E15" s="458">
        <f t="shared" si="1"/>
        <v>9134.6204494939593</v>
      </c>
      <c r="F15" s="458">
        <f t="shared" ca="1" si="1"/>
        <v>113698.51421559413</v>
      </c>
      <c r="G15" s="458">
        <f t="shared" si="1"/>
        <v>164038.53036467324</v>
      </c>
      <c r="H15" s="458">
        <f t="shared" si="1"/>
        <v>27850.650178877033</v>
      </c>
      <c r="I15" s="458">
        <f t="shared" si="1"/>
        <v>0</v>
      </c>
      <c r="J15" s="458">
        <f t="shared" si="1"/>
        <v>2003.925507095958</v>
      </c>
      <c r="K15" s="458">
        <f t="shared" si="1"/>
        <v>0</v>
      </c>
      <c r="L15" s="458">
        <f t="shared" ca="1" si="1"/>
        <v>0</v>
      </c>
      <c r="M15" s="458">
        <f t="shared" si="1"/>
        <v>8675.489422479377</v>
      </c>
      <c r="N15" s="458">
        <f t="shared" ca="1" si="1"/>
        <v>22112.438316030119</v>
      </c>
      <c r="O15" s="458">
        <f t="shared" si="1"/>
        <v>261.07666666666671</v>
      </c>
      <c r="P15" s="458">
        <f t="shared" si="1"/>
        <v>1334.6666666666667</v>
      </c>
      <c r="Q15" s="458">
        <f t="shared" ca="1" si="1"/>
        <v>812343.48516252881</v>
      </c>
    </row>
    <row r="17" spans="1:17">
      <c r="A17" s="461" t="s">
        <v>550</v>
      </c>
      <c r="B17" s="731">
        <f ca="1">huishoudens!B10</f>
        <v>0.20780368755296161</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8538.9818671058092</v>
      </c>
      <c r="C22" s="448">
        <f t="shared" ref="C22:C32" ca="1" si="3">C4*$C$17</f>
        <v>0</v>
      </c>
      <c r="D22" s="448">
        <f t="shared" ref="D22:D32" si="4">D4*$D$17</f>
        <v>21597.08817747104</v>
      </c>
      <c r="E22" s="448">
        <f t="shared" ref="E22:E32" si="5">E4*$E$17</f>
        <v>529.2399371752233</v>
      </c>
      <c r="F22" s="448">
        <f t="shared" ref="F22:F32" si="6">F4*$F$17</f>
        <v>19076.74782555009</v>
      </c>
      <c r="G22" s="448">
        <f t="shared" ref="G22:G32" si="7">G4*$G$17</f>
        <v>0</v>
      </c>
      <c r="H22" s="448">
        <f t="shared" ref="H22:H32" si="8">H4*$H$17</f>
        <v>0</v>
      </c>
      <c r="I22" s="448">
        <f t="shared" ref="I22:I32" si="9">I4*$I$17</f>
        <v>0</v>
      </c>
      <c r="J22" s="448">
        <f t="shared" ref="J22:J32" si="10">J4*$J$17</f>
        <v>478.99464050272593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50221.05244780489</v>
      </c>
    </row>
    <row r="23" spans="1:17">
      <c r="A23" s="447" t="s">
        <v>149</v>
      </c>
      <c r="B23" s="448">
        <f t="shared" ca="1" si="2"/>
        <v>8285.213311451289</v>
      </c>
      <c r="C23" s="448">
        <f t="shared" ca="1" si="3"/>
        <v>0</v>
      </c>
      <c r="D23" s="448">
        <f t="shared" ca="1" si="4"/>
        <v>7899.8829575480358</v>
      </c>
      <c r="E23" s="448">
        <f t="shared" si="5"/>
        <v>50.312029210284045</v>
      </c>
      <c r="F23" s="448">
        <f t="shared" ca="1" si="6"/>
        <v>1390.8995538483293</v>
      </c>
      <c r="G23" s="448">
        <f t="shared" si="7"/>
        <v>0</v>
      </c>
      <c r="H23" s="448">
        <f t="shared" si="8"/>
        <v>0</v>
      </c>
      <c r="I23" s="448">
        <f t="shared" si="9"/>
        <v>0</v>
      </c>
      <c r="J23" s="448">
        <f t="shared" si="10"/>
        <v>10.340379654868636</v>
      </c>
      <c r="K23" s="448">
        <f t="shared" si="11"/>
        <v>0</v>
      </c>
      <c r="L23" s="448">
        <f t="shared" ca="1" si="12"/>
        <v>0</v>
      </c>
      <c r="M23" s="448">
        <f t="shared" si="13"/>
        <v>0</v>
      </c>
      <c r="N23" s="448">
        <f t="shared" ca="1" si="14"/>
        <v>0</v>
      </c>
      <c r="O23" s="448">
        <f t="shared" si="15"/>
        <v>0</v>
      </c>
      <c r="P23" s="449">
        <f t="shared" si="16"/>
        <v>0</v>
      </c>
      <c r="Q23" s="447">
        <f t="shared" ref="Q23:Q32" ca="1" si="17">SUM(B23:P23)</f>
        <v>17636.64823171281</v>
      </c>
    </row>
    <row r="24" spans="1:17">
      <c r="A24" s="447" t="s">
        <v>187</v>
      </c>
      <c r="B24" s="448">
        <f t="shared" ca="1" si="2"/>
        <v>440.2863488434005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440.2863488434005</v>
      </c>
    </row>
    <row r="25" spans="1:17">
      <c r="A25" s="447" t="s">
        <v>105</v>
      </c>
      <c r="B25" s="448">
        <f t="shared" ca="1" si="2"/>
        <v>697.18521799485825</v>
      </c>
      <c r="C25" s="448">
        <f t="shared" ca="1" si="3"/>
        <v>1785.9176470588238</v>
      </c>
      <c r="D25" s="448">
        <f t="shared" si="4"/>
        <v>0</v>
      </c>
      <c r="E25" s="448">
        <f t="shared" si="5"/>
        <v>15.814179028697129</v>
      </c>
      <c r="F25" s="448">
        <f t="shared" si="6"/>
        <v>3165.744512701714</v>
      </c>
      <c r="G25" s="448">
        <f t="shared" si="7"/>
        <v>0</v>
      </c>
      <c r="H25" s="448">
        <f t="shared" si="8"/>
        <v>0</v>
      </c>
      <c r="I25" s="448">
        <f t="shared" si="9"/>
        <v>0</v>
      </c>
      <c r="J25" s="448">
        <f t="shared" si="10"/>
        <v>136.21898868622807</v>
      </c>
      <c r="K25" s="448">
        <f t="shared" si="11"/>
        <v>0</v>
      </c>
      <c r="L25" s="448">
        <f t="shared" si="12"/>
        <v>0</v>
      </c>
      <c r="M25" s="448">
        <f t="shared" si="13"/>
        <v>0</v>
      </c>
      <c r="N25" s="448">
        <f t="shared" si="14"/>
        <v>0</v>
      </c>
      <c r="O25" s="448">
        <f t="shared" si="15"/>
        <v>0</v>
      </c>
      <c r="P25" s="449">
        <f t="shared" si="16"/>
        <v>0</v>
      </c>
      <c r="Q25" s="447">
        <f t="shared" ca="1" si="17"/>
        <v>5800.8805454703206</v>
      </c>
    </row>
    <row r="26" spans="1:17">
      <c r="A26" s="447" t="s">
        <v>614</v>
      </c>
      <c r="B26" s="448">
        <f t="shared" ca="1" si="2"/>
        <v>30856.920426309964</v>
      </c>
      <c r="C26" s="448">
        <f t="shared" ca="1" si="3"/>
        <v>0</v>
      </c>
      <c r="D26" s="448">
        <f t="shared" si="4"/>
        <v>13954.929421906665</v>
      </c>
      <c r="E26" s="448">
        <f t="shared" si="5"/>
        <v>1347.1764660145561</v>
      </c>
      <c r="F26" s="448">
        <f t="shared" si="6"/>
        <v>6724.1114034635002</v>
      </c>
      <c r="G26" s="448">
        <f t="shared" si="7"/>
        <v>0</v>
      </c>
      <c r="H26" s="448">
        <f t="shared" si="8"/>
        <v>0</v>
      </c>
      <c r="I26" s="448">
        <f t="shared" si="9"/>
        <v>0</v>
      </c>
      <c r="J26" s="448">
        <f t="shared" si="10"/>
        <v>83.83562066814639</v>
      </c>
      <c r="K26" s="448">
        <f t="shared" si="11"/>
        <v>0</v>
      </c>
      <c r="L26" s="448">
        <f t="shared" si="12"/>
        <v>0</v>
      </c>
      <c r="M26" s="448">
        <f t="shared" si="13"/>
        <v>0</v>
      </c>
      <c r="N26" s="448">
        <f t="shared" si="14"/>
        <v>0</v>
      </c>
      <c r="O26" s="448">
        <f t="shared" si="15"/>
        <v>0</v>
      </c>
      <c r="P26" s="449">
        <f t="shared" si="16"/>
        <v>0</v>
      </c>
      <c r="Q26" s="447">
        <f t="shared" ca="1" si="17"/>
        <v>52966.973338362841</v>
      </c>
    </row>
    <row r="27" spans="1:17" s="453" customFormat="1">
      <c r="A27" s="451" t="s">
        <v>555</v>
      </c>
      <c r="B27" s="725">
        <f t="shared" ca="1" si="2"/>
        <v>3.4585678481343614</v>
      </c>
      <c r="C27" s="452">
        <f t="shared" ca="1" si="3"/>
        <v>0</v>
      </c>
      <c r="D27" s="452">
        <f t="shared" si="4"/>
        <v>3.0153955803345638</v>
      </c>
      <c r="E27" s="452">
        <f t="shared" si="5"/>
        <v>131.01623060636837</v>
      </c>
      <c r="F27" s="452">
        <f t="shared" si="6"/>
        <v>0</v>
      </c>
      <c r="G27" s="452">
        <f t="shared" si="7"/>
        <v>43300.451248510806</v>
      </c>
      <c r="H27" s="452">
        <f t="shared" si="8"/>
        <v>6934.8118945403812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50372.753337086026</v>
      </c>
    </row>
    <row r="28" spans="1:17">
      <c r="A28" s="447" t="s">
        <v>545</v>
      </c>
      <c r="B28" s="448">
        <f t="shared" ca="1" si="2"/>
        <v>1.9906129135723203</v>
      </c>
      <c r="C28" s="448">
        <f t="shared" ca="1" si="3"/>
        <v>0</v>
      </c>
      <c r="D28" s="448">
        <f t="shared" si="4"/>
        <v>0</v>
      </c>
      <c r="E28" s="448">
        <f t="shared" si="5"/>
        <v>0</v>
      </c>
      <c r="F28" s="448">
        <f t="shared" si="6"/>
        <v>0</v>
      </c>
      <c r="G28" s="448">
        <f t="shared" si="7"/>
        <v>497.83635885695259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499.82697177052489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303.98107410991463</v>
      </c>
      <c r="C32" s="448">
        <f t="shared" ca="1" si="3"/>
        <v>0</v>
      </c>
      <c r="D32" s="448">
        <f t="shared" si="4"/>
        <v>844.30026949025444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1148.2813436001691</v>
      </c>
    </row>
    <row r="33" spans="1:17" s="460" customFormat="1">
      <c r="A33" s="457" t="s">
        <v>549</v>
      </c>
      <c r="B33" s="458">
        <f ca="1">SUM(B22:B32)</f>
        <v>49128.017426576938</v>
      </c>
      <c r="C33" s="458">
        <f t="shared" ref="C33:Q33" ca="1" si="18">SUM(C22:C32)</f>
        <v>1785.9176470588238</v>
      </c>
      <c r="D33" s="458">
        <f t="shared" ca="1" si="18"/>
        <v>44299.216221996328</v>
      </c>
      <c r="E33" s="458">
        <f t="shared" si="18"/>
        <v>2073.5588420351291</v>
      </c>
      <c r="F33" s="458">
        <f t="shared" ca="1" si="18"/>
        <v>30357.503295563631</v>
      </c>
      <c r="G33" s="458">
        <f t="shared" si="18"/>
        <v>43798.287607367762</v>
      </c>
      <c r="H33" s="458">
        <f t="shared" si="18"/>
        <v>6934.8118945403812</v>
      </c>
      <c r="I33" s="458">
        <f t="shared" si="18"/>
        <v>0</v>
      </c>
      <c r="J33" s="458">
        <f t="shared" si="18"/>
        <v>709.38962951196902</v>
      </c>
      <c r="K33" s="458">
        <f t="shared" si="18"/>
        <v>0</v>
      </c>
      <c r="L33" s="458">
        <f t="shared" ca="1" si="18"/>
        <v>0</v>
      </c>
      <c r="M33" s="458">
        <f t="shared" si="18"/>
        <v>0</v>
      </c>
      <c r="N33" s="458">
        <f t="shared" ca="1" si="18"/>
        <v>0</v>
      </c>
      <c r="O33" s="458">
        <f t="shared" si="18"/>
        <v>0</v>
      </c>
      <c r="P33" s="458">
        <f t="shared" si="18"/>
        <v>0</v>
      </c>
      <c r="Q33" s="458">
        <f t="shared" ca="1" si="18"/>
        <v>179086.70256465097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13172.054112024183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5260.5</v>
      </c>
      <c r="D8" s="982">
        <f>'SEAP template'!D76</f>
        <v>6188.8235294117649</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1250.1423529411766</v>
      </c>
    </row>
    <row r="9" spans="1:16">
      <c r="A9" s="985" t="s">
        <v>821</v>
      </c>
      <c r="B9" s="982">
        <f>'SEAP template'!B77</f>
        <v>1341</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3831.4285714285716</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14513.054112024183</v>
      </c>
      <c r="C10" s="986">
        <f>SUM(C4:C9)</f>
        <v>5260.5</v>
      </c>
      <c r="D10" s="986">
        <f t="shared" ref="D10:H10" si="0">SUM(D8:D9)</f>
        <v>6188.8235294117649</v>
      </c>
      <c r="E10" s="986">
        <f t="shared" si="0"/>
        <v>0</v>
      </c>
      <c r="F10" s="986">
        <f t="shared" si="0"/>
        <v>0</v>
      </c>
      <c r="G10" s="986">
        <f t="shared" si="0"/>
        <v>0</v>
      </c>
      <c r="H10" s="986">
        <f t="shared" si="0"/>
        <v>0</v>
      </c>
      <c r="I10" s="986">
        <f>SUM(I8:I9)</f>
        <v>0</v>
      </c>
      <c r="J10" s="986">
        <f>SUM(J8:J9)</f>
        <v>3831.4285714285716</v>
      </c>
      <c r="K10" s="986">
        <f t="shared" ref="K10:L10" si="1">SUM(K8:K9)</f>
        <v>0</v>
      </c>
      <c r="L10" s="986">
        <f t="shared" si="1"/>
        <v>0</v>
      </c>
      <c r="M10" s="986">
        <f>SUM(M8:M9)</f>
        <v>0</v>
      </c>
      <c r="N10" s="986">
        <f>SUM(N8:N9)</f>
        <v>0</v>
      </c>
      <c r="O10" s="986">
        <f>SUM(O8:O9)</f>
        <v>0</v>
      </c>
      <c r="P10" s="986">
        <f>SUM(P8:P9)</f>
        <v>1250.1423529411766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0.20780368755296161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7515</v>
      </c>
      <c r="D17" s="983">
        <f>'SEAP template'!D87</f>
        <v>8841.176470588236</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1785.9176470588238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7515</v>
      </c>
      <c r="D20" s="986">
        <f t="shared" ref="D20:H20" si="2">SUM(D17:D19)</f>
        <v>8841.176470588236</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1785.9176470588238</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0.20780368755296161</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3</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4.6900000000000004</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2022-07-26T11:55:08Z</dcterms:modified>
</cp:coreProperties>
</file>