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D9EA848F-DA0F-48F7-870C-211CAF5A75A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<sst xmlns="http://schemas.openxmlformats.org/spreadsheetml/2006/main" count="2441" uniqueCount="908">
  <si>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</si>
  <si>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</si>
  <si>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</si>
  <si>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</si>
  <si>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</si>
  <si>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</si>
  <si>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</si>
  <si>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</si>
  <si>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</si>
  <si>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</si>
  <si>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</si>
  <si>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</si>
  <si>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</si>
  <si>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</si>
  <si>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</si>
  <si>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</si>
  <si>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</si>
  <si>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</si>
  <si>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</si>
  <si>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</si>
  <si>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</si>
  <si>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</si>
  <si>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</si>
  <si>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</si>
  <si>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</si>
  <si>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</si>
  <si>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</si>
  <si>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</si>
  <si>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</si>
  <si>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</si>
  <si>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</si>
  <si>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</si>
  <si>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</si>
  <si>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</si>
  <si>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</si>
  <si>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</si>
  <si>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</si>
  <si>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</si>
  <si>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</si>
  <si>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</si>
  <si>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</si>
  <si>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</si>
  <si>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</si>
  <si>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</si>
  <si>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</si>
  <si>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</si>
  <si>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</si>
  <si>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</si>
  <si>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</si>
  <si>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</si>
  <si>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</si>
  <si>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</si>
  <si>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</si>
  <si>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</si>
  <si>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</si>
  <si>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</si>
  <si>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</si>
  <si>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</si>
  <si>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</si>
  <si>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</si>
  <si>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</si>
  <si>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</si>
  <si>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</si>
  <si>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</si>
  <si>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</si>
  <si>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</si>
  <si>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</si>
  <si>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</si>
  <si>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</si>
  <si>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</si>
  <si>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</si>
  <si>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</si>
  <si>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</si>
  <si>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</si>
  <si>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</si>
  <si>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</si>
  <si>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</si>
  <si>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</si>
  <si>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</si>
  <si>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</si>
  <si>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</si>
  <si>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</si>
  <si>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</si>
  <si>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</si>
  <si>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</si>
  <si>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</si>
  <si>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</si>
  <si>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</si>
  <si>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</si>
  <si>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</si>
  <si>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</si>
  <si>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</si>
  <si>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</si>
  <si>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</si>
  <si>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</si>
  <si>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</si>
  <si>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</si>
  <si>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</si>
  <si>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</si>
  <si>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</si>
  <si>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</si>
  <si>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</si>
  <si>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</si>
  <si>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</si>
  <si>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</si>
  <si>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</si>
  <si>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</si>
  <si>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</si>
  <si>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</si>
  <si>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</si>
  <si>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</si>
  <si>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</si>
  <si>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</si>
  <si>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</si>
  <si>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</si>
  <si>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</si>
  <si>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</si>
  <si>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</si>
  <si>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</si>
  <si>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</si>
  <si>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</si>
  <si>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</si>
  <si>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</si>
  <si>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</si>
  <si>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</si>
  <si>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</si>
  <si>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</si>
  <si>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</si>
  <si>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</si>
  <si>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</si>
  <si>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</si>
  <si>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</si>
  <si>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</si>
  <si>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</si>
  <si>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</si>
  <si>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</si>
  <si>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</si>
  <si>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</si>
  <si>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</si>
  <si>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</si>
  <si>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</si>
  <si>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</si>
  <si>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</si>
  <si>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</si>
  <si>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</si>
  <si>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</si>
  <si>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</si>
  <si>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</si>
  <si>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</si>
  <si>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</si>
  <si>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</si>
  <si>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</si>
  <si>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</si>
  <si>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</si>
  <si>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</si>
  <si>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</si>
  <si>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</si>
  <si>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</si>
  <si>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</si>
  <si>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</si>
  <si>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</si>
  <si>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</si>
  <si>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</si>
  <si>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</si>
  <si>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</si>
  <si>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</si>
  <si>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</si>
  <si>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</si>
  <si>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</si>
  <si>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</si>
  <si>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</si>
  <si>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</si>
  <si>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</si>
  <si>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</si>
  <si>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</si>
  <si>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</si>
  <si>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</si>
  <si>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</si>
  <si>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</si>
  <si>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</si>
  <si>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</si>
  <si>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</si>
  <si>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</si>
  <si>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</si>
  <si>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</si>
  <si>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</si>
  <si>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</si>
  <si>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</si>
  <si>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</si>
  <si>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</si>
  <si>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</si>
  <si>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</si>
  <si>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</si>
  <si>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</si>
  <si>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</si>
  <si>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</si>
  <si>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</si>
  <si>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</si>
  <si>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</si>
  <si>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</si>
  <si>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</si>
  <si>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</si>
  <si>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</si>
  <si>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</si>
  <si>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</si>
  <si>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</si>
  <si>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</si>
  <si>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</si>
  <si>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</si>
  <si>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</si>
  <si>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</si>
  <si>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</si>
  <si>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</si>
  <si>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</si>
  <si>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</si>
  <si>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</si>
  <si>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</si>
  <si>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</si>
  <si>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</si>
  <si>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</si>
  <si>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</si>
  <si>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</si>
  <si>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</si>
  <si>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</si>
  <si>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</si>
  <si>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</si>
  <si>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</si>
  <si>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</si>
  <si>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</si>
  <si>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</si>
  <si>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</si>
  <si>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</si>
  <si>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</si>
  <si>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</si>
  <si>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</si>
  <si>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</si>
  <si>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</si>
  <si>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</si>
  <si>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</si>
  <si>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</si>
  <si>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</si>
  <si>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</si>
  <si>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</si>
  <si>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</si>
  <si>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</si>
  <si>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</si>
  <si>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</si>
  <si>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</si>
  <si>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</si>
  <si>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</si>
  <si>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</si>
  <si>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</si>
  <si>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</si>
  <si>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</si>
  <si>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</si>
  <si>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</si>
  <si>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</si>
  <si>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</si>
  <si>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</si>
  <si>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</si>
  <si>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</si>
  <si>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</si>
  <si>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</si>
  <si>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</si>
  <si>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</si>
  <si>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</si>
  <si>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</si>
  <si>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</si>
  <si>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</si>
  <si>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</si>
  <si>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</si>
  <si>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</si>
  <si>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</si>
  <si>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</si>
  <si>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</si>
  <si>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</si>
  <si>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</si>
  <si>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</si>
  <si>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</si>
  <si>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</si>
  <si>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</si>
  <si>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</si>
  <si>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</si>
  <si>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</si>
  <si>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</si>
  <si>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</si>
  <si>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</si>
  <si>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</si>
  <si>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</si>
  <si>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</si>
  <si>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</si>
  <si>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</si>
  <si>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</si>
  <si>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</si>
  <si>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</si>
  <si>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</si>
  <si>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</si>
  <si>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</si>
  <si>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</si>
  <si>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</si>
  <si>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</si>
  <si>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</si>
  <si>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</si>
  <si>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</si>
  <si>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</si>
  <si>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</si>
  <si>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</si>
  <si>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</si>
  <si>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</si>
  <si>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</si>
  <si>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</si>
  <si>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</si>
  <si>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</si>
  <si>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</si>
  <si>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</si>
  <si>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</si>
  <si>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</si>
  <si>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</si>
  <si>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</si>
  <si>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</si>
  <si>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</si>
  <si>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</si>
  <si>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</si>
  <si>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</si>
  <si>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</si>
  <si>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</si>
  <si>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</si>
  <si>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</si>
  <si>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</si>
  <si>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</si>
  <si>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</si>
  <si>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</si>
  <si>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</si>
  <si>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</si>
  <si>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</si>
  <si>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</si>
  <si>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</si>
  <si>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</si>
  <si>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</si>
  <si>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</si>
  <si>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</si>
  <si>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</si>
  <si>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</si>
  <si>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</si>
  <si>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</si>
  <si>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</si>
  <si>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</si>
  <si>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</si>
  <si>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</si>
  <si>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</si>
  <si>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</si>
  <si>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</si>
  <si>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</si>
  <si>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</si>
  <si>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</si>
  <si>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</si>
  <si>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</si>
  <si>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</si>
  <si>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</si>
  <si>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</si>
  <si>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</si>
  <si>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</si>
  <si>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</si>
  <si>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</si>
  <si>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</si>
  <si>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</si>
  <si>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</si>
  <si>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</si>
  <si>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</si>
  <si>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</si>
  <si>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</si>
  <si>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</si>
  <si>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</si>
  <si>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</si>
  <si>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</si>
  <si>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</si>
  <si>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</si>
  <si>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</si>
  <si>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</si>
  <si>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</si>
  <si>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</si>
  <si>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</si>
  <si>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</si>
  <si>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</si>
  <si>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</si>
  <si>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</si>
  <si>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</si>
  <si>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</si>
  <si>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</si>
  <si>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</si>
  <si>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</si>
  <si>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</si>
  <si>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</si>
  <si>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</si>
  <si>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</si>
  <si>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</si>
  <si>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</si>
  <si>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</si>
  <si>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</si>
  <si>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</si>
  <si>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</si>
  <si>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</si>
  <si>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</si>
  <si>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</si>
  <si>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</si>
  <si>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</si>
  <si>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</si>
  <si>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</si>
  <si>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</si>
  <si>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</si>
  <si>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</si>
  <si>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</si>
  <si>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</si>
  <si>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</si>
  <si>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</si>
  <si>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</si>
  <si>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</si>
  <si>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</si>
  <si>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</si>
  <si>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</si>
  <si>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</si>
  <si>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</si>
  <si>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</si>
  <si>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</si>
  <si>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</si>
  <si>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</si>
  <si>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</si>
  <si>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</si>
  <si>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</si>
  <si>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</si>
  <si>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</si>
  <si>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</si>
  <si>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</si>
  <si>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</si>
  <si>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</si>
  <si>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</si>
  <si>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</si>
  <si>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</si>
  <si>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</si>
  <si>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</si>
  <si>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</si>
  <si>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</si>
  <si>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</si>
  <si>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</si>
  <si>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</si>
  <si>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</si>
  <si>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</si>
  <si>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</si>
  <si>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</si>
  <si>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</si>
  <si>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</si>
  <si>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</si>
  <si>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</si>
  <si>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</si>
  <si>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</si>
  <si>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</si>
  <si>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</si>
  <si>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</si>
  <si>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</si>
  <si>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</si>
  <si>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</si>
  <si>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</si>
  <si>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</si>
  <si>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</si>
  <si>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</si>
  <si>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</si>
  <si>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</si>
  <si>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</si>
  <si>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</si>
  <si>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</si>
  <si>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</si>
  <si>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</si>
  <si>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</si>
  <si>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</si>
  <si>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</si>
  <si>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</si>
  <si>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</si>
  <si>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</si>
  <si>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</si>
  <si>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</si>
  <si>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</si>
  <si>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</si>
  <si>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</si>
  <si>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</si>
  <si>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</si>
  <si>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</si>
  <si>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</si>
  <si>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</si>
  <si>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</si>
  <si>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</si>
  <si>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</si>
  <si>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</si>
  <si>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</si>
  <si>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</si>
  <si>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</si>
  <si>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</si>
  <si>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</si>
  <si>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</si>
  <si>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</si>
  <si>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</si>
  <si>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</si>
  <si>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</si>
  <si>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</si>
  <si>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</si>
  <si>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</si>
  <si>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</si>
  <si>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</si>
  <si>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</si>
  <si>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</si>
  <si>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</si>
  <si>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</si>
  <si>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</si>
  <si>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</si>
  <si>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</si>
  <si>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</si>
  <si>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</si>
  <si>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</si>
  <si>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</si>
  <si>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</si>
  <si>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</si>
  <si>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</si>
  <si>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</si>
  <si>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</si>
  <si>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</si>
  <si>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</si>
  <si>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</si>
  <si>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</si>
  <si>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</si>
  <si>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</si>
  <si>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</si>
  <si>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</si>
  <si>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</si>
  <si>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</si>
  <si>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</si>
  <si>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</si>
  <si>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</si>
  <si>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</si>
  <si>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</si>
  <si>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</si>
  <si>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</si>
  <si>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</si>
  <si>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</si>
  <si>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</si>
  <si>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</si>
  <si>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</si>
  <si>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</si>
  <si>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</si>
  <si>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</si>
  <si>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</si>
  <si>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</si>
  <si>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</si>
  <si>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</si>
  <si>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</si>
  <si>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</si>
  <si>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</si>
  <si>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</si>
  <si>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</si>
  <si>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</si>
  <si>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</si>
  <si>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</si>
  <si>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</si>
  <si>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</si>
  <si>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</si>
  <si>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</si>
  <si>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</si>
  <si>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</si>
  <si>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</si>
  <si>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</si>
  <si>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</si>
  <si>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</si>
  <si>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</si>
  <si>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</si>
  <si>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</si>
  <si>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</si>
  <si>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</si>
  <si>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</si>
  <si>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</si>
  <si>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</si>
  <si>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</si>
  <si>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</si>
  <si>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</si>
  <si>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</si>
  <si>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</si>
  <si>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</si>
  <si>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</si>
  <si>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</si>
  <si>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</si>
  <si>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</si>
  <si>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</si>
  <si>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</si>
  <si>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</si>
  <si>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</si>
  <si>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</si>
  <si>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</si>
  <si>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</si>
  <si>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</si>
  <si>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</si>
  <si>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</si>
  <si>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</si>
  <si>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</si>
  <si>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</si>
  <si>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</si>
  <si>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</si>
  <si>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</si>
  <si>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</si>
  <si>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</si>
  <si>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</si>
  <si>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</si>
  <si>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</si>
  <si>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</si>
  <si>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</si>
  <si>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</si>
  <si>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</si>
  <si>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</si>
  <si>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</si>
  <si>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</si>
  <si>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</si>
  <si>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</si>
  <si>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</si>
  <si>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</si>
  <si>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</si>
  <si>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</si>
  <si>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</si>
  <si>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</si>
  <si>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</si>
  <si>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</si>
  <si>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</si>
  <si>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</si>
  <si>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</si>
  <si>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</si>
  <si>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</si>
  <si>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</si>
  <si>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</si>
  <si>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</si>
  <si>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</si>
  <si>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</si>
  <si>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</si>
  <si>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</si>
  <si>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</si>
  <si>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</si>
  <si>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</si>
  <si>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</si>
  <si>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</si>
  <si>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</si>
  <si>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</si>
  <si>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</si>
  <si>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</si>
  <si>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</si>
  <si>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</si>
  <si>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</si>
  <si>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</si>
  <si>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</si>
  <si>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</si>
  <si>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</si>
  <si>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</si>
  <si>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</si>
  <si>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</si>
  <si>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</si>
  <si>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</si>
  <si>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</si>
  <si>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</si>
  <si>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</si>
  <si>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</si>
  <si>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</si>
  <si>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</si>
  <si>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</si>
  <si>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</si>
  <si>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</si>
  <si>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</si>
  <si>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</si>
  <si>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</si>
  <si>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</si>
  <si>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</si>
  <si>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</si>
  <si>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</si>
  <si>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</si>
  <si>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</si>
  <si>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</si>
  <si>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</si>
  <si>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</si>
  <si>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</si>
  <si>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</si>
  <si>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</si>
  <si>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</si>
  <si>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</si>
  <si>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</si>
  <si>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</si>
  <si>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</si>
  <si>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</si>
  <si>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</si>
  <si>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</si>
  <si>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</si>
  <si>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</si>
  <si>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</si>
  <si>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</si>
  <si>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</si>
  <si>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</si>
  <si>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</si>
  <si>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</si>
  <si>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</si>
  <si>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</si>
  <si>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</si>
  <si>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</si>
  <si>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</si>
  <si>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</si>
  <si>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</si>
  <si>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</si>
  <si>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</si>
  <si>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</si>
  <si>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</si>
  <si>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</si>
  <si>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</si>
  <si>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</si>
  <si>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</si>
  <si>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</si>
  <si>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</si>
  <si>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</si>
  <si>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</si>
  <si>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</si>
  <si>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</si>
  <si>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</si>
  <si>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</si>
  <si>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</si>
  <si>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</si>
  <si>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</si>
  <si>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</si>
  <si>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</si>
  <si>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</si>
  <si>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</si>
  <si>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</si>
  <si>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</si>
  <si>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</si>
  <si>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</si>
  <si>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</si>
  <si>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</si>
  <si>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</si>
  <si>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</si>
  <si>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</si>
  <si>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</si>
  <si>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</si>
  <si>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</si>
  <si>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</si>
  <si>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</si>
  <si>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</si>
  <si>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</si>
  <si>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</si>
  <si>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</si>
  <si>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</si>
  <si>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</si>
  <si>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</si>
  <si>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</si>
  <si>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</si>
  <si>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</si>
  <si>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</si>
  <si>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</si>
  <si>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</si>
  <si>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</si>
  <si>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</si>
  <si>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</si>
  <si>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</si>
  <si>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</si>
  <si>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</si>
  <si>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</si>
  <si>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</si>
  <si>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</si>
  <si>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</si>
  <si>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</si>
  <si>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</si>
  <si>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</si>
  <si>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</si>
  <si>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</si>
  <si>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</si>
  <si>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</si>
  <si>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</si>
  <si>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</si>
  <si>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</si>
  <si>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</si>
  <si>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</si>
  <si>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</si>
  <si>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</si>
  <si>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</si>
  <si>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</si>
  <si>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</si>
  <si>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</si>
  <si>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</si>
  <si>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</si>
  <si>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</si>
  <si>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</si>
  <si>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</si>
  <si>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</si>
  <si>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</si>
  <si>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</si>
  <si>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</si>
  <si>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</si>
  <si>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</si>
  <si>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</si>
  <si>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</si>
  <si>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</si>
  <si>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</si>
  <si>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</si>
  <si>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</si>
  <si>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</si>
  <si>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</si>
  <si>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</si>
  <si>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</si>
  <si>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</si>
  <si>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</si>
  <si>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</si>
  <si>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</si>
  <si>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</si>
  <si>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</si>
  <si>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</si>
  <si>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</si>
  <si>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</si>
  <si>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</si>
  <si>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</si>
  <si>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</si>
  <si>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</si>
  <si>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</si>
  <si>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</si>
  <si>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</si>
  <si>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</si>
  <si>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</si>
  <si>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</si>
  <si>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</si>
  <si>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</si>
  <si>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</si>
  <si>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</si>
  <si>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</si>
  <si>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</si>
  <si>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</si>
  <si>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</si>
  <si>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</si>
  <si>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</si>
  <si>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</si>
  <si>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</si>
  <si>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</si>
  <si>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</si>
  <si>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</si>
  <si>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</si>
  <si>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</si>
  <si>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</si>
  <si>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</si>
  <si>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</si>
  <si>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</si>
  <si>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</si>
  <si>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</si>
  <si>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</si>
  <si>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</si>
  <si>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</si>
  <si>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</si>
  <si>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</si>
  <si>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</si>
  <si>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</si>
  <si>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</si>
  <si>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</si>
  <si>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</si>
  <si>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</si>
  <si>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</si>
  <si>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</si>
  <si>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</si>
  <si>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</si>
  <si>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</si>
  <si>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</si>
  <si>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</si>
  <si>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</si>
  <si>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</si>
  <si>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</si>
  <si>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</si>
  <si>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</si>
  <si>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</si>
  <si>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</si>
  <si>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</si>
  <si>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</si>
  <si>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</si>
  <si>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</si>
  <si>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</si>
  <si>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</si>
  <si>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</si>
  <si>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</si>
  <si>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</si>
  <si>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</si>
  <si>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</si>
  <si>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</si>
  <si>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</si>
  <si>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</si>
  <si>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</si>
  <si>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</si>
  <si>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</si>
  <si>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</si>
  <si>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</si>
  <si>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</si>
  <si>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</si>
  <si>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</si>
  <si>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</si>
  <si>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</si>
  <si>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</si>
  <si>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</si>
  <si>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</si>
  <si>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</si>
  <si>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</si>
  <si>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</si>
  <si>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13019</t>
  </si>
  <si>
    <t>LILLE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</si>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</sst>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4AA3EB1-D8C3-4AD0-AAE6-2C629D794EE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163069.72094118153</c:v>
                </c:pt>
                <c:pt idx="1">
                  <c:v>40489.990251292722</c:v>
                </c:pt>
                <c:pt idx="2">
                  <c:v>1020.116</c:v>
                </c:pt>
                <c:pt idx="3">
                  <c:v>7799.6147572255868</c:v>
                </c:pt>
                <c:pt idx="4">
                  <c:v>11483.301173966243</c:v>
                </c:pt>
                <c:pt idx="5">
                  <c:v>264512.9387739384</c:v>
                </c:pt>
                <c:pt idx="6">
                  <c:v>1718.4225308037492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163069.72094118153</c:v>
                </c:pt>
                <c:pt idx="1">
                  <c:v>40489.990251292722</c:v>
                </c:pt>
                <c:pt idx="2">
                  <c:v>1020.116</c:v>
                </c:pt>
                <c:pt idx="3">
                  <c:v>7799.6147572255868</c:v>
                </c:pt>
                <c:pt idx="4">
                  <c:v>11483.301173966243</c:v>
                </c:pt>
                <c:pt idx="5">
                  <c:v>264512.9387739384</c:v>
                </c:pt>
                <c:pt idx="6">
                  <c:v>1718.4225308037492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33939.326468065621</c:v>
                </c:pt>
                <c:pt idx="2">
                  <c:v>8094.6222044241358</c:v>
                </c:pt>
                <c:pt idx="3">
                  <c:v>204.28809074085419</c:v>
                </c:pt>
                <c:pt idx="4">
                  <c:v>1962.4270757339884</c:v>
                </c:pt>
                <c:pt idx="5">
                  <c:v>2424.6187125555998</c:v>
                </c:pt>
                <c:pt idx="6">
                  <c:v>67040.921283896343</c:v>
                </c:pt>
                <c:pt idx="7">
                  <c:v>438.66312524808319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33939.326468065621</c:v>
                </c:pt>
                <c:pt idx="2">
                  <c:v>8094.6222044241358</c:v>
                </c:pt>
                <c:pt idx="3">
                  <c:v>204.28809074085419</c:v>
                </c:pt>
                <c:pt idx="4">
                  <c:v>1962.4270757339884</c:v>
                </c:pt>
                <c:pt idx="5">
                  <c:v>2424.6187125555998</c:v>
                </c:pt>
                <c:pt idx="6">
                  <c:v>67040.921283896343</c:v>
                </c:pt>
                <c:pt idx="7">
                  <c:v>438.66312524808319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13019</v>
      </c>
      <c r="B6" s="385"/>
      <c r="C6" s="386"/>
    </row>
    <row r="7" spans="1:7" s="383" customFormat="1" ht="15.75" customHeight="1">
      <c r="A7" s="387" t="str">
        <f>txtMunicipality</f>
        <v>LILLE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0.20025966727397099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0.20025966727397099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6504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2431</v>
      </c>
      <c r="C14" s="327"/>
      <c r="D14" s="327"/>
      <c r="E14" s="327"/>
      <c r="F14" s="327"/>
    </row>
    <row r="15" spans="1:6">
      <c r="A15" s="1258" t="s">
        <v>177</v>
      </c>
      <c r="B15" s="1259">
        <v>495</v>
      </c>
      <c r="C15" s="327"/>
      <c r="D15" s="327"/>
      <c r="E15" s="327"/>
      <c r="F15" s="327"/>
    </row>
    <row r="16" spans="1:6">
      <c r="A16" s="1258" t="s">
        <v>6</v>
      </c>
      <c r="B16" s="1259">
        <v>1104</v>
      </c>
      <c r="C16" s="327"/>
      <c r="D16" s="327"/>
      <c r="E16" s="327"/>
      <c r="F16" s="327"/>
    </row>
    <row r="17" spans="1:6">
      <c r="A17" s="1258" t="s">
        <v>7</v>
      </c>
      <c r="B17" s="1259">
        <v>282</v>
      </c>
      <c r="C17" s="327"/>
      <c r="D17" s="327"/>
      <c r="E17" s="327"/>
      <c r="F17" s="327"/>
    </row>
    <row r="18" spans="1:6">
      <c r="A18" s="1258" t="s">
        <v>8</v>
      </c>
      <c r="B18" s="1259">
        <v>869</v>
      </c>
      <c r="C18" s="327"/>
      <c r="D18" s="327"/>
      <c r="E18" s="327"/>
      <c r="F18" s="327"/>
    </row>
    <row r="19" spans="1:6">
      <c r="A19" s="1258" t="s">
        <v>9</v>
      </c>
      <c r="B19" s="1259">
        <v>749</v>
      </c>
      <c r="C19" s="327"/>
      <c r="D19" s="327"/>
      <c r="E19" s="327"/>
      <c r="F19" s="327"/>
    </row>
    <row r="20" spans="1:6">
      <c r="A20" s="1258" t="s">
        <v>10</v>
      </c>
      <c r="B20" s="1259">
        <v>335</v>
      </c>
      <c r="C20" s="327"/>
      <c r="D20" s="327"/>
      <c r="E20" s="327"/>
      <c r="F20" s="327"/>
    </row>
    <row r="21" spans="1:6">
      <c r="A21" s="1258" t="s">
        <v>11</v>
      </c>
      <c r="B21" s="1259">
        <v>7333</v>
      </c>
      <c r="C21" s="327"/>
      <c r="D21" s="327"/>
      <c r="E21" s="327"/>
      <c r="F21" s="327"/>
    </row>
    <row r="22" spans="1:6">
      <c r="A22" s="1258" t="s">
        <v>12</v>
      </c>
      <c r="B22" s="1259">
        <v>18181</v>
      </c>
      <c r="C22" s="327"/>
      <c r="D22" s="327"/>
      <c r="E22" s="327"/>
      <c r="F22" s="327"/>
    </row>
    <row r="23" spans="1:6">
      <c r="A23" s="1258" t="s">
        <v>13</v>
      </c>
      <c r="B23" s="1259">
        <v>268</v>
      </c>
      <c r="C23" s="327"/>
      <c r="D23" s="327"/>
      <c r="E23" s="327"/>
      <c r="F23" s="327"/>
    </row>
    <row r="24" spans="1:6">
      <c r="A24" s="1258" t="s">
        <v>14</v>
      </c>
      <c r="B24" s="1259">
        <v>7</v>
      </c>
      <c r="C24" s="327"/>
      <c r="D24" s="327"/>
      <c r="E24" s="327"/>
      <c r="F24" s="327"/>
    </row>
    <row r="25" spans="1:6">
      <c r="A25" s="1258" t="s">
        <v>15</v>
      </c>
      <c r="B25" s="1259">
        <v>1083</v>
      </c>
      <c r="C25" s="327"/>
      <c r="D25" s="327"/>
      <c r="E25" s="327"/>
      <c r="F25" s="327"/>
    </row>
    <row r="26" spans="1:6">
      <c r="A26" s="1258" t="s">
        <v>16</v>
      </c>
      <c r="B26" s="1259">
        <v>36</v>
      </c>
      <c r="C26" s="327"/>
      <c r="D26" s="327"/>
      <c r="E26" s="327"/>
      <c r="F26" s="327"/>
    </row>
    <row r="27" spans="1:6">
      <c r="A27" s="1258" t="s">
        <v>17</v>
      </c>
      <c r="B27" s="1259">
        <v>4</v>
      </c>
      <c r="C27" s="327"/>
      <c r="D27" s="327"/>
      <c r="E27" s="327"/>
      <c r="F27" s="327"/>
    </row>
    <row r="28" spans="1:6">
      <c r="A28" s="1258" t="s">
        <v>18</v>
      </c>
      <c r="B28" s="1260">
        <v>291316</v>
      </c>
      <c r="C28" s="327"/>
      <c r="D28" s="327"/>
      <c r="E28" s="327"/>
      <c r="F28" s="327"/>
    </row>
    <row r="29" spans="1:6">
      <c r="A29" s="1258" t="s">
        <v>905</v>
      </c>
      <c r="B29" s="1260">
        <v>95</v>
      </c>
      <c r="C29" s="327"/>
      <c r="D29" s="327"/>
      <c r="E29" s="327"/>
      <c r="F29" s="327"/>
    </row>
    <row r="30" spans="1:6">
      <c r="A30" s="1253" t="s">
        <v>906</v>
      </c>
      <c r="B30" s="1261">
        <v>17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17737</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11600.086279150401</v>
      </c>
    </row>
    <row r="39" spans="1:6">
      <c r="A39" s="1258" t="s">
        <v>29</v>
      </c>
      <c r="B39" s="1258" t="s">
        <v>30</v>
      </c>
      <c r="C39" s="1259">
        <v>3859</v>
      </c>
      <c r="D39" s="1259">
        <v>77260313.402869001</v>
      </c>
      <c r="E39" s="1259">
        <v>6631</v>
      </c>
      <c r="F39" s="1259">
        <v>26301512.606318898</v>
      </c>
    </row>
    <row r="40" spans="1:6">
      <c r="A40" s="1258" t="s">
        <v>29</v>
      </c>
      <c r="B40" s="1258" t="s">
        <v>28</v>
      </c>
      <c r="C40" s="1259">
        <v>0</v>
      </c>
      <c r="D40" s="1259">
        <v>0</v>
      </c>
      <c r="E40" s="1259">
        <v>0</v>
      </c>
      <c r="F40" s="1259">
        <v>0</v>
      </c>
    </row>
    <row r="41" spans="1:6">
      <c r="A41" s="1258" t="s">
        <v>31</v>
      </c>
      <c r="B41" s="1258" t="s">
        <v>32</v>
      </c>
      <c r="C41" s="1259">
        <v>79</v>
      </c>
      <c r="D41" s="1259">
        <v>2138784.3570439699</v>
      </c>
      <c r="E41" s="1259">
        <v>176</v>
      </c>
      <c r="F41" s="1259">
        <v>2416235.68504644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185271.87941750599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7</v>
      </c>
      <c r="D47" s="1259">
        <v>146550.03653054699</v>
      </c>
      <c r="E47" s="1259">
        <v>6</v>
      </c>
      <c r="F47" s="1259">
        <v>110232.31960763301</v>
      </c>
    </row>
    <row r="48" spans="1:6">
      <c r="A48" s="1258" t="s">
        <v>31</v>
      </c>
      <c r="B48" s="1258" t="s">
        <v>28</v>
      </c>
      <c r="C48" s="1259">
        <v>12</v>
      </c>
      <c r="D48" s="1259">
        <v>474153.62457892601</v>
      </c>
      <c r="E48" s="1259">
        <v>22</v>
      </c>
      <c r="F48" s="1259">
        <v>1039297.62320732</v>
      </c>
    </row>
    <row r="49" spans="1:6">
      <c r="A49" s="1258" t="s">
        <v>31</v>
      </c>
      <c r="B49" s="1258" t="s">
        <v>39</v>
      </c>
      <c r="C49" s="1259">
        <v>0</v>
      </c>
      <c r="D49" s="1259">
        <v>0</v>
      </c>
      <c r="E49" s="1259">
        <v>0</v>
      </c>
      <c r="F49" s="1259">
        <v>0</v>
      </c>
    </row>
    <row r="50" spans="1:6">
      <c r="A50" s="1258" t="s">
        <v>31</v>
      </c>
      <c r="B50" s="1258" t="s">
        <v>40</v>
      </c>
      <c r="C50" s="1259">
        <v>8</v>
      </c>
      <c r="D50" s="1259">
        <v>477239.78891105001</v>
      </c>
      <c r="E50" s="1259">
        <v>17</v>
      </c>
      <c r="F50" s="1259">
        <v>664307.58252587297</v>
      </c>
    </row>
    <row r="51" spans="1:6">
      <c r="A51" s="1258" t="s">
        <v>41</v>
      </c>
      <c r="B51" s="1258" t="s">
        <v>42</v>
      </c>
      <c r="C51" s="1259">
        <v>4</v>
      </c>
      <c r="D51" s="1259">
        <v>111528.463489507</v>
      </c>
      <c r="E51" s="1259">
        <v>81</v>
      </c>
      <c r="F51" s="1259">
        <v>1421289.60527797</v>
      </c>
    </row>
    <row r="52" spans="1:6">
      <c r="A52" s="1258" t="s">
        <v>41</v>
      </c>
      <c r="B52" s="1258" t="s">
        <v>28</v>
      </c>
      <c r="C52" s="1259">
        <v>7</v>
      </c>
      <c r="D52" s="1259">
        <v>390967.63292054302</v>
      </c>
      <c r="E52" s="1259">
        <v>8</v>
      </c>
      <c r="F52" s="1259">
        <v>151981.32397387599</v>
      </c>
    </row>
    <row r="53" spans="1:6">
      <c r="A53" s="1258" t="s">
        <v>43</v>
      </c>
      <c r="B53" s="1258" t="s">
        <v>44</v>
      </c>
      <c r="C53" s="1259">
        <v>88</v>
      </c>
      <c r="D53" s="1259">
        <v>1775155.6707887801</v>
      </c>
      <c r="E53" s="1259">
        <v>221</v>
      </c>
      <c r="F53" s="1259">
        <v>948621.58745881403</v>
      </c>
    </row>
    <row r="54" spans="1:6">
      <c r="A54" s="1258" t="s">
        <v>45</v>
      </c>
      <c r="B54" s="1258" t="s">
        <v>46</v>
      </c>
      <c r="C54" s="1259">
        <v>0</v>
      </c>
      <c r="D54" s="1259">
        <v>0</v>
      </c>
      <c r="E54" s="1259">
        <v>1</v>
      </c>
      <c r="F54" s="1259">
        <v>1020116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26</v>
      </c>
      <c r="D57" s="1259">
        <v>830322.82019456301</v>
      </c>
      <c r="E57" s="1259">
        <v>49</v>
      </c>
      <c r="F57" s="1259">
        <v>834736.61730356305</v>
      </c>
    </row>
    <row r="58" spans="1:6">
      <c r="A58" s="1258" t="s">
        <v>48</v>
      </c>
      <c r="B58" s="1258" t="s">
        <v>50</v>
      </c>
      <c r="C58" s="1259">
        <v>24</v>
      </c>
      <c r="D58" s="1259">
        <v>577402.14612131205</v>
      </c>
      <c r="E58" s="1259">
        <v>34</v>
      </c>
      <c r="F58" s="1259">
        <v>238414.99008728901</v>
      </c>
    </row>
    <row r="59" spans="1:6">
      <c r="A59" s="1258" t="s">
        <v>48</v>
      </c>
      <c r="B59" s="1258" t="s">
        <v>51</v>
      </c>
      <c r="C59" s="1259">
        <v>44</v>
      </c>
      <c r="D59" s="1259">
        <v>1300190.6240355601</v>
      </c>
      <c r="E59" s="1259">
        <v>185</v>
      </c>
      <c r="F59" s="1259">
        <v>5992070.7972217603</v>
      </c>
    </row>
    <row r="60" spans="1:6">
      <c r="A60" s="1258" t="s">
        <v>48</v>
      </c>
      <c r="B60" s="1258" t="s">
        <v>52</v>
      </c>
      <c r="C60" s="1259">
        <v>45</v>
      </c>
      <c r="D60" s="1259">
        <v>3023192.0837880201</v>
      </c>
      <c r="E60" s="1259">
        <v>70</v>
      </c>
      <c r="F60" s="1259">
        <v>1905785.21724369</v>
      </c>
    </row>
    <row r="61" spans="1:6">
      <c r="A61" s="1258" t="s">
        <v>48</v>
      </c>
      <c r="B61" s="1258" t="s">
        <v>53</v>
      </c>
      <c r="C61" s="1259">
        <v>93</v>
      </c>
      <c r="D61" s="1259">
        <v>4163949.0389458798</v>
      </c>
      <c r="E61" s="1259">
        <v>173</v>
      </c>
      <c r="F61" s="1259">
        <v>2230094.1239750502</v>
      </c>
    </row>
    <row r="62" spans="1:6">
      <c r="A62" s="1258" t="s">
        <v>48</v>
      </c>
      <c r="B62" s="1258" t="s">
        <v>54</v>
      </c>
      <c r="C62" s="1259">
        <v>0</v>
      </c>
      <c r="D62" s="1259">
        <v>0</v>
      </c>
      <c r="E62" s="1259">
        <v>0</v>
      </c>
      <c r="F62" s="1259">
        <v>0</v>
      </c>
    </row>
    <row r="63" spans="1:6">
      <c r="A63" s="1258" t="s">
        <v>48</v>
      </c>
      <c r="B63" s="1258" t="s">
        <v>28</v>
      </c>
      <c r="C63" s="1259">
        <v>90</v>
      </c>
      <c r="D63" s="1259">
        <v>13683421.9636376</v>
      </c>
      <c r="E63" s="1259">
        <v>91</v>
      </c>
      <c r="F63" s="1259">
        <v>4928938.0044317199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7806.5429102933003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82062.590748873903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70681297</v>
      </c>
      <c r="E73" s="446"/>
      <c r="F73" s="327"/>
    </row>
    <row r="74" spans="1:6">
      <c r="A74" s="1258" t="s">
        <v>63</v>
      </c>
      <c r="B74" s="1258" t="s">
        <v>681</v>
      </c>
      <c r="C74" s="1271" t="s">
        <v>682</v>
      </c>
      <c r="D74" s="1259">
        <v>7078644.1988683026</v>
      </c>
      <c r="E74" s="446"/>
      <c r="F74" s="327"/>
    </row>
    <row r="75" spans="1:6">
      <c r="A75" s="1258" t="s">
        <v>64</v>
      </c>
      <c r="B75" s="1258" t="s">
        <v>679</v>
      </c>
      <c r="C75" s="1271" t="s">
        <v>683</v>
      </c>
      <c r="D75" s="1259">
        <v>9492969</v>
      </c>
      <c r="E75" s="446"/>
      <c r="F75" s="327"/>
    </row>
    <row r="76" spans="1:6">
      <c r="A76" s="1258" t="s">
        <v>64</v>
      </c>
      <c r="B76" s="1258" t="s">
        <v>681</v>
      </c>
      <c r="C76" s="1271" t="s">
        <v>684</v>
      </c>
      <c r="D76" s="1259">
        <v>364895.19886830222</v>
      </c>
      <c r="E76" s="446"/>
      <c r="F76" s="327"/>
    </row>
    <row r="77" spans="1:6">
      <c r="A77" s="1258" t="s">
        <v>65</v>
      </c>
      <c r="B77" s="1258" t="s">
        <v>679</v>
      </c>
      <c r="C77" s="1271" t="s">
        <v>685</v>
      </c>
      <c r="D77" s="1259">
        <v>146404354</v>
      </c>
      <c r="E77" s="446"/>
      <c r="F77" s="327"/>
    </row>
    <row r="78" spans="1:6">
      <c r="A78" s="1253" t="s">
        <v>65</v>
      </c>
      <c r="B78" s="1253" t="s">
        <v>681</v>
      </c>
      <c r="C78" s="1253" t="s">
        <v>686</v>
      </c>
      <c r="D78" s="1261">
        <v>35700013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454815.60226339556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3986.5679519736368</v>
      </c>
      <c r="C91" s="327"/>
      <c r="D91" s="327"/>
      <c r="E91" s="327"/>
      <c r="F91" s="327"/>
    </row>
    <row r="92" spans="1:6">
      <c r="A92" s="1253" t="s">
        <v>68</v>
      </c>
      <c r="B92" s="1254">
        <v>1118.9101606732806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2301</v>
      </c>
      <c r="C97" s="327"/>
      <c r="D97" s="327"/>
      <c r="E97" s="327"/>
      <c r="F97" s="327"/>
    </row>
    <row r="98" spans="1:6">
      <c r="A98" s="1258" t="s">
        <v>71</v>
      </c>
      <c r="B98" s="1259">
        <v>11</v>
      </c>
      <c r="C98" s="327"/>
      <c r="D98" s="327"/>
      <c r="E98" s="327"/>
      <c r="F98" s="327"/>
    </row>
    <row r="99" spans="1:6">
      <c r="A99" s="1258" t="s">
        <v>72</v>
      </c>
      <c r="B99" s="1259">
        <v>157</v>
      </c>
      <c r="C99" s="327"/>
      <c r="D99" s="327"/>
      <c r="E99" s="327"/>
      <c r="F99" s="327"/>
    </row>
    <row r="100" spans="1:6">
      <c r="A100" s="1258" t="s">
        <v>73</v>
      </c>
      <c r="B100" s="1259">
        <v>332</v>
      </c>
      <c r="C100" s="327"/>
      <c r="D100" s="327"/>
      <c r="E100" s="327"/>
      <c r="F100" s="327"/>
    </row>
    <row r="101" spans="1:6">
      <c r="A101" s="1258" t="s">
        <v>74</v>
      </c>
      <c r="B101" s="1259">
        <v>205</v>
      </c>
      <c r="C101" s="327"/>
      <c r="D101" s="327"/>
      <c r="E101" s="327"/>
      <c r="F101" s="327"/>
    </row>
    <row r="102" spans="1:6">
      <c r="A102" s="1258" t="s">
        <v>75</v>
      </c>
      <c r="B102" s="1259">
        <v>64</v>
      </c>
      <c r="C102" s="327"/>
      <c r="D102" s="327"/>
      <c r="E102" s="327"/>
      <c r="F102" s="327"/>
    </row>
    <row r="103" spans="1:6">
      <c r="A103" s="1258" t="s">
        <v>76</v>
      </c>
      <c r="B103" s="1259">
        <v>202</v>
      </c>
      <c r="C103" s="327"/>
      <c r="D103" s="327"/>
      <c r="E103" s="327"/>
      <c r="F103" s="327"/>
    </row>
    <row r="104" spans="1:6">
      <c r="A104" s="1258" t="s">
        <v>77</v>
      </c>
      <c r="B104" s="1259">
        <v>2176</v>
      </c>
      <c r="C104" s="327"/>
      <c r="D104" s="327"/>
      <c r="E104" s="327"/>
      <c r="F104" s="327"/>
    </row>
    <row r="105" spans="1:6">
      <c r="A105" s="1253" t="s">
        <v>78</v>
      </c>
      <c r="B105" s="1261">
        <v>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2</v>
      </c>
      <c r="C121" s="1259">
        <v>0</v>
      </c>
      <c r="D121" s="327"/>
      <c r="E121" s="327"/>
      <c r="F121" s="327"/>
    </row>
    <row r="122" spans="1:6">
      <c r="A122" s="1258" t="s">
        <v>86</v>
      </c>
      <c r="B122" s="1259">
        <v>0</v>
      </c>
      <c r="C122" s="1259">
        <v>0</v>
      </c>
      <c r="D122" s="327"/>
      <c r="E122" s="327"/>
      <c r="F122" s="327"/>
    </row>
    <row r="123" spans="1:6">
      <c r="A123" s="1258" t="s">
        <v>87</v>
      </c>
      <c r="B123" s="1259">
        <v>24</v>
      </c>
      <c r="C123" s="1259">
        <v>11</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156</v>
      </c>
      <c r="C129" s="327"/>
      <c r="D129" s="327"/>
      <c r="E129" s="327"/>
      <c r="F129" s="327"/>
    </row>
    <row r="130" spans="1:6">
      <c r="A130" s="1258" t="s">
        <v>284</v>
      </c>
      <c r="B130" s="1259">
        <v>5</v>
      </c>
      <c r="C130" s="327"/>
      <c r="D130" s="327"/>
      <c r="E130" s="327"/>
      <c r="F130" s="327"/>
    </row>
    <row r="131" spans="1:6">
      <c r="A131" s="1258" t="s">
        <v>285</v>
      </c>
      <c r="B131" s="1259">
        <v>1</v>
      </c>
      <c r="C131" s="327"/>
      <c r="D131" s="327"/>
      <c r="E131" s="327"/>
      <c r="F131" s="327"/>
    </row>
    <row r="132" spans="1:6">
      <c r="A132" s="1253" t="s">
        <v>286</v>
      </c>
      <c r="B132" s="1254">
        <v>25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54401.762874273678</v>
      </c>
      <c r="C3" s="43" t="s">
        <v>163</v>
      </c>
      <c r="D3" s="43"/>
      <c r="E3" s="156"/>
      <c r="F3" s="43"/>
      <c r="G3" s="43"/>
      <c r="H3" s="43"/>
      <c r="I3" s="43"/>
      <c r="J3" s="43"/>
      <c r="K3" s="96"/>
    </row>
    <row r="4" spans="1:11">
      <c r="A4" s="353" t="s">
        <v>164</v>
      </c>
      <c r="B4" s="49">
        <f>IF(ISERROR('SEAP template'!B78+'SEAP template'!C78),0,'SEAP template'!B78+'SEAP template'!C78)</f>
        <v>5105.478112646917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0.20025966727397099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1020.116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1020.116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0.20025966727397099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204.28809074085419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26301.512606318898</v>
      </c>
      <c r="C5" s="17">
        <f>IF(ISERROR('Eigen informatie GS &amp; warmtenet'!B57),0,'Eigen informatie GS &amp; warmtenet'!B57)</f>
        <v>0</v>
      </c>
      <c r="D5" s="30">
        <f>(SUM(HH_hh_gas_kWh,HH_rest_gas_kWh)/1000)*0.902</f>
        <v>69688.802689387841</v>
      </c>
      <c r="E5" s="17">
        <f>B32*B41</f>
        <v>1601.514038775372</v>
      </c>
      <c r="F5" s="17">
        <f>B36*B45</f>
        <v>49079.154844591016</v>
      </c>
      <c r="G5" s="18"/>
      <c r="H5" s="17"/>
      <c r="I5" s="17"/>
      <c r="J5" s="17">
        <f>B35*B44+C35*C44</f>
        <v>929.46146760048737</v>
      </c>
      <c r="K5" s="17"/>
      <c r="L5" s="17"/>
      <c r="M5" s="17"/>
      <c r="N5" s="17">
        <f>B34*B43+C34*C43</f>
        <v>10287.364009200945</v>
      </c>
      <c r="O5" s="17">
        <f>B52*B53*B54</f>
        <v>261.07666666666665</v>
      </c>
      <c r="P5" s="17">
        <f>B60*B61*B62/1000-B60*B61*B62/1000/B63</f>
        <v>934.26666666666665</v>
      </c>
    </row>
    <row r="6" spans="1:16">
      <c r="A6" s="16" t="s">
        <v>592</v>
      </c>
      <c r="B6" s="733">
        <f>kWh_PV_kleiner_dan_10kW</f>
        <v>3986.5679519736368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30288.080558292535</v>
      </c>
      <c r="C8" s="21">
        <f>C5</f>
        <v>0</v>
      </c>
      <c r="D8" s="21">
        <f>D5</f>
        <v>69688.802689387841</v>
      </c>
      <c r="E8" s="21">
        <f>E5</f>
        <v>1601.514038775372</v>
      </c>
      <c r="F8" s="21">
        <f>F5</f>
        <v>49079.154844591016</v>
      </c>
      <c r="G8" s="21"/>
      <c r="H8" s="21"/>
      <c r="I8" s="21"/>
      <c r="J8" s="21">
        <f>J5</f>
        <v>929.46146760048737</v>
      </c>
      <c r="K8" s="21"/>
      <c r="L8" s="21">
        <f>L5</f>
        <v>0</v>
      </c>
      <c r="M8" s="21">
        <f>M5</f>
        <v>0</v>
      </c>
      <c r="N8" s="21">
        <f>N5</f>
        <v>10287.364009200945</v>
      </c>
      <c r="O8" s="21">
        <f>O5</f>
        <v>261.07666666666665</v>
      </c>
      <c r="P8" s="21">
        <f>P5</f>
        <v>934.26666666666665</v>
      </c>
    </row>
    <row r="9" spans="1:16">
      <c r="B9" s="19"/>
      <c r="C9" s="19"/>
      <c r="D9" s="257"/>
      <c r="E9" s="19"/>
      <c r="F9" s="19"/>
      <c r="G9" s="19"/>
      <c r="H9" s="19"/>
      <c r="I9" s="19"/>
      <c r="J9" s="19"/>
      <c r="K9" s="19"/>
      <c r="L9" s="19"/>
      <c r="M9" s="19"/>
      <c r="N9" s="19"/>
      <c r="O9" s="19"/>
      <c r="P9" s="19"/>
    </row>
    <row r="10" spans="1:16">
      <c r="A10" s="24" t="s">
        <v>207</v>
      </c>
      <c r="B10" s="25">
        <f ca="1">'EF ele_warmte'!B12</f>
        <v>0.20025966727397099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6065.4809349708921</v>
      </c>
      <c r="C12" s="23">
        <f ca="1">C10*C8</f>
        <v>0</v>
      </c>
      <c r="D12" s="23">
        <f>D8*D10</f>
        <v>14077.138143256345</v>
      </c>
      <c r="E12" s="23">
        <f>E10*E8</f>
        <v>363.54368680200946</v>
      </c>
      <c r="F12" s="23">
        <f>F10*F8</f>
        <v>13104.134343505802</v>
      </c>
      <c r="G12" s="23"/>
      <c r="H12" s="23"/>
      <c r="I12" s="23"/>
      <c r="J12" s="23">
        <f>J10*J8</f>
        <v>329.02935953057249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6504</v>
      </c>
      <c r="C26" s="36"/>
      <c r="D26" s="227"/>
    </row>
    <row r="27" spans="1:5" s="15" customFormat="1">
      <c r="A27" s="229" t="s">
        <v>697</v>
      </c>
      <c r="B27" s="37">
        <f>SUM(HH_hh_gas_aantal,HH_rest_gas_aantal)</f>
        <v>3859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3666.05</v>
      </c>
      <c r="C31" s="34" t="s">
        <v>104</v>
      </c>
      <c r="D31" s="173"/>
    </row>
    <row r="32" spans="1:5">
      <c r="A32" s="170" t="s">
        <v>72</v>
      </c>
      <c r="B32" s="33">
        <f>IF((B21*($B$26-($B$27-0.05*$B$27)-$B$60))&lt;0,0,B21*($B$26-($B$27-0.05*$B$27)-$B$60))</f>
        <v>69.839664497774109</v>
      </c>
      <c r="C32" s="34" t="s">
        <v>104</v>
      </c>
      <c r="D32" s="173"/>
    </row>
    <row r="33" spans="1:6">
      <c r="A33" s="170" t="s">
        <v>73</v>
      </c>
      <c r="B33" s="33">
        <f>IF((B22*($B$26-($B$27-0.05*$B$27)-$B$60))&lt;0,0,B22*($B$26-($B$27-0.05*$B$27)-$B$60))</f>
        <v>470.1028527876407</v>
      </c>
      <c r="C33" s="34" t="s">
        <v>104</v>
      </c>
      <c r="D33" s="173"/>
    </row>
    <row r="34" spans="1:6">
      <c r="A34" s="170" t="s">
        <v>74</v>
      </c>
      <c r="B34" s="33">
        <f>IF((B24*($B$26-($B$27-0.05*$B$27)-$B$60))&lt;0,0,B24*($B$26-($B$27-0.05*$B$27)-$B$60))</f>
        <v>119.2714657697253</v>
      </c>
      <c r="C34" s="33">
        <f>B26*C24</f>
        <v>1330.4586798575779</v>
      </c>
      <c r="D34" s="232"/>
    </row>
    <row r="35" spans="1:6">
      <c r="A35" s="170" t="s">
        <v>76</v>
      </c>
      <c r="B35" s="33">
        <f>IF((B19*($B$26-($B$27-0.05*$B$27)-$B$60))&lt;0,0,B19*($B$26-($B$27-0.05*$B$27)-$B$60))</f>
        <v>44.325194473947377</v>
      </c>
      <c r="C35" s="33">
        <f>B35/2</f>
        <v>22.162597236973689</v>
      </c>
      <c r="D35" s="232"/>
    </row>
    <row r="36" spans="1:6">
      <c r="A36" s="170" t="s">
        <v>77</v>
      </c>
      <c r="B36" s="33">
        <f>IF((B18*($B$26-($B$27-0.05*$B$27)-$B$60))&lt;0,0,B18*($B$26-($B$27-0.05*$B$27)-$B$60))</f>
        <v>2085.4108224709125</v>
      </c>
      <c r="C36" s="34" t="s">
        <v>104</v>
      </c>
      <c r="D36" s="173"/>
    </row>
    <row r="37" spans="1:6">
      <c r="A37" s="170" t="s">
        <v>78</v>
      </c>
      <c r="B37" s="33">
        <f>B60</f>
        <v>49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167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16130.039750263073</v>
      </c>
      <c r="C5" s="17">
        <f>IF(ISERROR('Eigen informatie GS &amp; warmtenet'!B58),0,'Eigen informatie GS &amp; warmtenet'!B58)</f>
        <v>0</v>
      </c>
      <c r="D5" s="30">
        <f>SUM(D6:D12)</f>
        <v>21267.787766404086</v>
      </c>
      <c r="E5" s="17">
        <f>SUM(E6:E12)</f>
        <v>100.56203426123346</v>
      </c>
      <c r="F5" s="17">
        <f>SUM(F6:F12)</f>
        <v>2010.0774571166626</v>
      </c>
      <c r="G5" s="18"/>
      <c r="H5" s="17"/>
      <c r="I5" s="17"/>
      <c r="J5" s="17">
        <f>SUM(J6:J12)</f>
        <v>24.89948948997867</v>
      </c>
      <c r="K5" s="17"/>
      <c r="L5" s="17"/>
      <c r="M5" s="17"/>
      <c r="N5" s="17">
        <f>SUM(N6:N12)</f>
        <v>891.60708709102823</v>
      </c>
      <c r="O5" s="17">
        <f>B38*B39*B40</f>
        <v>7.8166666666666664</v>
      </c>
      <c r="P5" s="17">
        <f>B46*B47*B48/1000-B46*B47*B48/1000/B49</f>
        <v>57.2</v>
      </c>
      <c r="R5" s="32"/>
    </row>
    <row r="6" spans="1:18">
      <c r="A6" s="32" t="s">
        <v>53</v>
      </c>
      <c r="B6" s="37">
        <f>B26</f>
        <v>2230.09412397505</v>
      </c>
      <c r="C6" s="33"/>
      <c r="D6" s="37">
        <f>IF(ISERROR(TER_kantoor_gas_kWh/1000),0,TER_kantoor_gas_kWh/1000)*0.902</f>
        <v>3755.8820331291836</v>
      </c>
      <c r="E6" s="33">
        <f>$C$26*'E Balans VL '!I12/100/3.6*1000000</f>
        <v>18.82393947407791</v>
      </c>
      <c r="F6" s="33">
        <f>$C$26*('E Balans VL '!L12+'E Balans VL '!N12)/100/3.6*1000000</f>
        <v>299.03093023183021</v>
      </c>
      <c r="G6" s="34"/>
      <c r="H6" s="33"/>
      <c r="I6" s="33"/>
      <c r="J6" s="33">
        <f>$C$26*('E Balans VL '!D12+'E Balans VL '!E12)/100/3.6*1000000</f>
        <v>0</v>
      </c>
      <c r="K6" s="33"/>
      <c r="L6" s="33"/>
      <c r="M6" s="33"/>
      <c r="N6" s="33">
        <f>$C$26*'E Balans VL '!Y12/100/3.6*1000000</f>
        <v>19.612988096084919</v>
      </c>
      <c r="O6" s="33"/>
      <c r="P6" s="33"/>
      <c r="R6" s="32"/>
    </row>
    <row r="7" spans="1:18">
      <c r="A7" s="32" t="s">
        <v>52</v>
      </c>
      <c r="B7" s="37">
        <f t="shared" ref="B7:B12" si="0">B27</f>
        <v>1905.7852172436901</v>
      </c>
      <c r="C7" s="33"/>
      <c r="D7" s="37">
        <f>IF(ISERROR(TER_horeca_gas_kWh/1000),0,TER_horeca_gas_kWh/1000)*0.902</f>
        <v>2726.9192595767945</v>
      </c>
      <c r="E7" s="33">
        <f>$C$27*'E Balans VL '!I9/100/3.6*1000000</f>
        <v>25.05727084749611</v>
      </c>
      <c r="F7" s="33">
        <f>$C$27*('E Balans VL '!L9+'E Balans VL '!N9)/100/3.6*1000000</f>
        <v>478.61384478743605</v>
      </c>
      <c r="G7" s="34"/>
      <c r="H7" s="33"/>
      <c r="I7" s="33"/>
      <c r="J7" s="33">
        <f>$C$27*('E Balans VL '!D9+'E Balans VL '!E9)/100/3.6*1000000</f>
        <v>0</v>
      </c>
      <c r="K7" s="33"/>
      <c r="L7" s="33"/>
      <c r="M7" s="33"/>
      <c r="N7" s="33">
        <f>$C$27*'E Balans VL '!Y9/100/3.6*1000000</f>
        <v>0.51882663211624669</v>
      </c>
      <c r="O7" s="33"/>
      <c r="P7" s="33"/>
      <c r="R7" s="32"/>
    </row>
    <row r="8" spans="1:18">
      <c r="A8" s="6" t="s">
        <v>51</v>
      </c>
      <c r="B8" s="37">
        <f t="shared" si="0"/>
        <v>5992.0707972217606</v>
      </c>
      <c r="C8" s="33"/>
      <c r="D8" s="37">
        <f>IF(ISERROR(TER_handel_gas_kWh/1000),0,TER_handel_gas_kWh/1000)*0.902</f>
        <v>1172.7719428800751</v>
      </c>
      <c r="E8" s="33">
        <f>$C$28*'E Balans VL '!I13/100/3.6*1000000</f>
        <v>26.24148231839262</v>
      </c>
      <c r="F8" s="33">
        <f>$C$28*('E Balans VL '!L13+'E Balans VL '!N13)/100/3.6*1000000</f>
        <v>402.75477207466326</v>
      </c>
      <c r="G8" s="34"/>
      <c r="H8" s="33"/>
      <c r="I8" s="33"/>
      <c r="J8" s="33">
        <f>$C$28*('E Balans VL '!D13+'E Balans VL '!E13)/100/3.6*1000000</f>
        <v>0</v>
      </c>
      <c r="K8" s="33"/>
      <c r="L8" s="33"/>
      <c r="M8" s="33"/>
      <c r="N8" s="33">
        <f>$C$28*'E Balans VL '!Y13/100/3.6*1000000</f>
        <v>17.702106780939278</v>
      </c>
      <c r="O8" s="33"/>
      <c r="P8" s="33"/>
      <c r="R8" s="32"/>
    </row>
    <row r="9" spans="1:18">
      <c r="A9" s="32" t="s">
        <v>50</v>
      </c>
      <c r="B9" s="37">
        <f t="shared" si="0"/>
        <v>238.41499008728903</v>
      </c>
      <c r="C9" s="33"/>
      <c r="D9" s="37">
        <f>IF(ISERROR(TER_gezond_gas_kWh/1000),0,TER_gezond_gas_kWh/1000)*0.902</f>
        <v>520.81673580142353</v>
      </c>
      <c r="E9" s="33">
        <f>$C$29*'E Balans VL '!I10/100/3.6*1000000</f>
        <v>8.1991967701492349E-2</v>
      </c>
      <c r="F9" s="33">
        <f>$C$29*('E Balans VL '!L10+'E Balans VL '!N10)/100/3.6*1000000</f>
        <v>20.838409203385535</v>
      </c>
      <c r="G9" s="34"/>
      <c r="H9" s="33"/>
      <c r="I9" s="33"/>
      <c r="J9" s="33">
        <f>$C$29*('E Balans VL '!D10+'E Balans VL '!E10)/100/3.6*1000000</f>
        <v>9.8896582503297505</v>
      </c>
      <c r="K9" s="33"/>
      <c r="L9" s="33"/>
      <c r="M9" s="33"/>
      <c r="N9" s="33">
        <f>$C$29*'E Balans VL '!Y10/100/3.6*1000000</f>
        <v>2.4996930677965437</v>
      </c>
      <c r="O9" s="33"/>
      <c r="P9" s="33"/>
      <c r="R9" s="32"/>
    </row>
    <row r="10" spans="1:18">
      <c r="A10" s="32" t="s">
        <v>49</v>
      </c>
      <c r="B10" s="37">
        <f t="shared" si="0"/>
        <v>834.73661730356309</v>
      </c>
      <c r="C10" s="33"/>
      <c r="D10" s="37">
        <f>IF(ISERROR(TER_ander_gas_kWh/1000),0,TER_ander_gas_kWh/1000)*0.902</f>
        <v>748.95118381549594</v>
      </c>
      <c r="E10" s="33">
        <f>$C$30*'E Balans VL '!I14/100/3.6*1000000</f>
        <v>0.49644832407221207</v>
      </c>
      <c r="F10" s="33">
        <f>$C$30*('E Balans VL '!L14+'E Balans VL '!N14)/100/3.6*1000000</f>
        <v>147.79273830412887</v>
      </c>
      <c r="G10" s="34"/>
      <c r="H10" s="33"/>
      <c r="I10" s="33"/>
      <c r="J10" s="33">
        <f>$C$30*('E Balans VL '!D14+'E Balans VL '!E14)/100/3.6*1000000</f>
        <v>0</v>
      </c>
      <c r="K10" s="33"/>
      <c r="L10" s="33"/>
      <c r="M10" s="33"/>
      <c r="N10" s="33">
        <f>$C$30*'E Balans VL '!Y14/100/3.6*1000000</f>
        <v>495.63814664681985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4928.9380044317195</v>
      </c>
      <c r="C12" s="33"/>
      <c r="D12" s="37">
        <f>IF(ISERROR(TER_rest_gas_kWh/1000),0,TER_rest_gas_kWh/1000)*0.902</f>
        <v>12342.446611201116</v>
      </c>
      <c r="E12" s="33">
        <f>$C$32*'E Balans VL '!I8/100/3.6*1000000</f>
        <v>29.860901329493121</v>
      </c>
      <c r="F12" s="33">
        <f>$C$32*('E Balans VL '!L8+'E Balans VL '!N8)/100/3.6*1000000</f>
        <v>661.0467625152188</v>
      </c>
      <c r="G12" s="34"/>
      <c r="H12" s="33"/>
      <c r="I12" s="33"/>
      <c r="J12" s="33">
        <f>$C$32*('E Balans VL '!D8+'E Balans VL '!E8)/100/3.6*1000000</f>
        <v>15.009831239648921</v>
      </c>
      <c r="K12" s="33"/>
      <c r="L12" s="33"/>
      <c r="M12" s="33"/>
      <c r="N12" s="33">
        <f>$C$32*'E Balans VL '!Y8/100/3.6*1000000</f>
        <v>355.63532586727143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16130.039750263073</v>
      </c>
      <c r="C16" s="21">
        <f t="shared" ca="1" si="1"/>
        <v>0</v>
      </c>
      <c r="D16" s="21">
        <f t="shared" ca="1" si="1"/>
        <v>21267.787766404086</v>
      </c>
      <c r="E16" s="21">
        <f t="shared" si="1"/>
        <v>100.56203426123346</v>
      </c>
      <c r="F16" s="21">
        <f t="shared" ca="1" si="1"/>
        <v>2010.0774571166626</v>
      </c>
      <c r="G16" s="21">
        <f t="shared" si="1"/>
        <v>0</v>
      </c>
      <c r="H16" s="21">
        <f t="shared" si="1"/>
        <v>0</v>
      </c>
      <c r="I16" s="21">
        <f t="shared" si="1"/>
        <v>0</v>
      </c>
      <c r="J16" s="21">
        <f t="shared" si="1"/>
        <v>24.89948948997867</v>
      </c>
      <c r="K16" s="21">
        <f t="shared" si="1"/>
        <v>0</v>
      </c>
      <c r="L16" s="21">
        <f t="shared" ca="1" si="1"/>
        <v>0</v>
      </c>
      <c r="M16" s="21">
        <f t="shared" si="1"/>
        <v>0</v>
      </c>
      <c r="N16" s="21">
        <f t="shared" ca="1" si="1"/>
        <v>891.60708709102823</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0.20025966727397099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3230.1963935036092</v>
      </c>
      <c r="C20" s="23">
        <f t="shared" ref="C20:P20" ca="1" si="2">C16*C18</f>
        <v>0</v>
      </c>
      <c r="D20" s="23">
        <f t="shared" ca="1" si="2"/>
        <v>4296.0931288136253</v>
      </c>
      <c r="E20" s="23">
        <f t="shared" si="2"/>
        <v>22.827581777299997</v>
      </c>
      <c r="F20" s="23">
        <f t="shared" ca="1" si="2"/>
        <v>536.6906810501489</v>
      </c>
      <c r="G20" s="23">
        <f t="shared" si="2"/>
        <v>0</v>
      </c>
      <c r="H20" s="23">
        <f t="shared" si="2"/>
        <v>0</v>
      </c>
      <c r="I20" s="23">
        <f t="shared" si="2"/>
        <v>0</v>
      </c>
      <c r="J20" s="23">
        <f t="shared" si="2"/>
        <v>8.8144192794524479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2230.09412397505</v>
      </c>
      <c r="C26" s="39">
        <f>IF(ISERROR(B26*3.6/1000000/'E Balans VL '!Z12*100),0,B26*3.6/1000000/'E Balans VL '!Z12*100)</f>
        <v>4.6740004268438197E-2</v>
      </c>
      <c r="D26" s="235" t="s">
        <v>647</v>
      </c>
      <c r="F26" s="6"/>
    </row>
    <row r="27" spans="1:18">
      <c r="A27" s="230" t="s">
        <v>52</v>
      </c>
      <c r="B27" s="33">
        <f>IF(ISERROR(TER_horeca_ele_kWh/1000),0,TER_horeca_ele_kWh/1000)</f>
        <v>1905.7852172436901</v>
      </c>
      <c r="C27" s="39">
        <f>IF(ISERROR(B27*3.6/1000000/'E Balans VL '!Z9*100),0,B27*3.6/1000000/'E Balans VL '!Z9*100)</f>
        <v>0.14611622467653934</v>
      </c>
      <c r="D27" s="235" t="s">
        <v>647</v>
      </c>
      <c r="F27" s="6"/>
    </row>
    <row r="28" spans="1:18">
      <c r="A28" s="170" t="s">
        <v>51</v>
      </c>
      <c r="B28" s="33">
        <f>IF(ISERROR(TER_handel_ele_kWh/1000),0,TER_handel_ele_kWh/1000)</f>
        <v>5992.0707972217606</v>
      </c>
      <c r="C28" s="39">
        <f>IF(ISERROR(B28*3.6/1000000/'E Balans VL '!Z13*100),0,B28*3.6/1000000/'E Balans VL '!Z13*100)</f>
        <v>0.1690451568103383</v>
      </c>
      <c r="D28" s="235" t="s">
        <v>647</v>
      </c>
      <c r="F28" s="6"/>
    </row>
    <row r="29" spans="1:18">
      <c r="A29" s="230" t="s">
        <v>50</v>
      </c>
      <c r="B29" s="33">
        <f>IF(ISERROR(TER_gezond_ele_kWh/1000),0,TER_gezond_ele_kWh/1000)</f>
        <v>238.41499008728903</v>
      </c>
      <c r="C29" s="39">
        <f>IF(ISERROR(B29*3.6/1000000/'E Balans VL '!Z10*100),0,B29*3.6/1000000/'E Balans VL '!Z10*100)</f>
        <v>2.6473019474883893E-2</v>
      </c>
      <c r="D29" s="235" t="s">
        <v>647</v>
      </c>
      <c r="F29" s="6"/>
    </row>
    <row r="30" spans="1:18">
      <c r="A30" s="230" t="s">
        <v>49</v>
      </c>
      <c r="B30" s="33">
        <f>IF(ISERROR(TER_ander_ele_kWh/1000),0,TER_ander_ele_kWh/1000)</f>
        <v>834.73661730356309</v>
      </c>
      <c r="C30" s="39">
        <f>IF(ISERROR(B30*3.6/1000000/'E Balans VL '!Z14*100),0,B30*3.6/1000000/'E Balans VL '!Z14*100)</f>
        <v>6.0230779255293514E-2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4928.9380044317195</v>
      </c>
      <c r="C32" s="39">
        <f>IF(ISERROR(B32*3.6/1000000/'E Balans VL '!Z8*100),0,B32*3.6/1000000/'E Balans VL '!Z8*100)</f>
        <v>4.0178896445556909E-2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4415.3450898047722</v>
      </c>
      <c r="C5" s="17">
        <f>IF(ISERROR('Eigen informatie GS &amp; warmtenet'!B59),0,'Eigen informatie GS &amp; warmtenet'!B59)</f>
        <v>0</v>
      </c>
      <c r="D5" s="30">
        <f>SUM(D6:D15)</f>
        <v>2919.5284819721728</v>
      </c>
      <c r="E5" s="17">
        <f>SUM(E6:E15)</f>
        <v>772.65514004976922</v>
      </c>
      <c r="F5" s="17">
        <f>SUM(F6:F15)</f>
        <v>2900.0734566561896</v>
      </c>
      <c r="G5" s="18"/>
      <c r="H5" s="17"/>
      <c r="I5" s="17"/>
      <c r="J5" s="17">
        <f>SUM(J6:J15)</f>
        <v>2.6725731487436954</v>
      </c>
      <c r="K5" s="17"/>
      <c r="L5" s="17"/>
      <c r="M5" s="17"/>
      <c r="N5" s="17">
        <f>SUM(N6:N15)</f>
        <v>473.02643233459617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185.271879417506</v>
      </c>
      <c r="C8" s="33"/>
      <c r="D8" s="37">
        <f>IF( ISERROR(IND_metaal_Gas_kWH/1000),0,IND_metaal_Gas_kWH/1000)*0.902</f>
        <v>0</v>
      </c>
      <c r="E8" s="33">
        <f>C30*'E Balans VL '!I18/100/3.6*1000000</f>
        <v>5.3217038021923297</v>
      </c>
      <c r="F8" s="33">
        <f>C30*'E Balans VL '!L18/100/3.6*1000000+C30*'E Balans VL '!N18/100/3.6*1000000</f>
        <v>47.518673780264066</v>
      </c>
      <c r="G8" s="34"/>
      <c r="H8" s="33"/>
      <c r="I8" s="33"/>
      <c r="J8" s="40">
        <f>C30*'E Balans VL '!D18/100/3.6*1000000+C30*'E Balans VL '!E18/100/3.6*1000000</f>
        <v>0</v>
      </c>
      <c r="K8" s="33"/>
      <c r="L8" s="33"/>
      <c r="M8" s="33"/>
      <c r="N8" s="33">
        <f>C30*'E Balans VL '!Y18/100/3.6*1000000</f>
        <v>5.0305097196727715</v>
      </c>
      <c r="O8" s="33"/>
      <c r="P8" s="33"/>
      <c r="R8" s="32"/>
    </row>
    <row r="9" spans="1:18">
      <c r="A9" s="6" t="s">
        <v>32</v>
      </c>
      <c r="B9" s="37">
        <f t="shared" si="0"/>
        <v>2416.2356850464398</v>
      </c>
      <c r="C9" s="33"/>
      <c r="D9" s="37">
        <f>IF( ISERROR(IND_andere_gas_kWh/1000),0,IND_andere_gas_kWh/1000)*0.902</f>
        <v>1929.183490053661</v>
      </c>
      <c r="E9" s="33">
        <f>C31*'E Balans VL '!I19/100/3.6*1000000</f>
        <v>654.0155918575565</v>
      </c>
      <c r="F9" s="33">
        <f>C31*'E Balans VL '!L19/100/3.6*1000000+C31*'E Balans VL '!N19/100/3.6*1000000</f>
        <v>1609.4686573877946</v>
      </c>
      <c r="G9" s="34"/>
      <c r="H9" s="33"/>
      <c r="I9" s="33"/>
      <c r="J9" s="40">
        <f>C31*'E Balans VL '!D19/100/3.6*1000000+C31*'E Balans VL '!E19/100/3.6*1000000</f>
        <v>0</v>
      </c>
      <c r="K9" s="33"/>
      <c r="L9" s="33"/>
      <c r="M9" s="33"/>
      <c r="N9" s="33">
        <f>C31*'E Balans VL '!Y19/100/3.6*1000000</f>
        <v>204.27672143701821</v>
      </c>
      <c r="O9" s="33"/>
      <c r="P9" s="33"/>
      <c r="R9" s="32"/>
    </row>
    <row r="10" spans="1:18">
      <c r="A10" s="6" t="s">
        <v>40</v>
      </c>
      <c r="B10" s="37">
        <f t="shared" si="0"/>
        <v>664.30758252587293</v>
      </c>
      <c r="C10" s="33"/>
      <c r="D10" s="37">
        <f>IF( ISERROR(IND_voed_gas_kWh/1000),0,IND_voed_gas_kWh/1000)*0.902</f>
        <v>430.47028959776713</v>
      </c>
      <c r="E10" s="33">
        <f>C32*'E Balans VL '!I20/100/3.6*1000000</f>
        <v>54.182452637767085</v>
      </c>
      <c r="F10" s="33">
        <f>C32*'E Balans VL '!L20/100/3.6*1000000+C32*'E Balans VL '!N20/100/3.6*1000000</f>
        <v>990.54287681100936</v>
      </c>
      <c r="G10" s="34"/>
      <c r="H10" s="33"/>
      <c r="I10" s="33"/>
      <c r="J10" s="40">
        <f>C32*'E Balans VL '!D20/100/3.6*1000000+C32*'E Balans VL '!E20/100/3.6*1000000</f>
        <v>8.7879829555859643E-3</v>
      </c>
      <c r="K10" s="33"/>
      <c r="L10" s="33"/>
      <c r="M10" s="33"/>
      <c r="N10" s="33">
        <f>C32*'E Balans VL '!Y20/100/3.6*1000000</f>
        <v>195.15012685909483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110.232319607633</v>
      </c>
      <c r="C13" s="33"/>
      <c r="D13" s="37">
        <f>IF( ISERROR(IND_papier_gas_kWh/1000),0,IND_papier_gas_kWh/1000)*0.902</f>
        <v>132.18813295055338</v>
      </c>
      <c r="E13" s="33">
        <f>C35*'E Balans VL '!I23/100/3.6*1000000</f>
        <v>1.1548843666683062</v>
      </c>
      <c r="F13" s="33">
        <f>C35*'E Balans VL '!L23/100/3.6*1000000+C35*'E Balans VL '!N23/100/3.6*1000000</f>
        <v>8.2255552273629338</v>
      </c>
      <c r="G13" s="34"/>
      <c r="H13" s="33"/>
      <c r="I13" s="33"/>
      <c r="J13" s="40">
        <f>C35*'E Balans VL '!D23/100/3.6*1000000+C35*'E Balans VL '!E23/100/3.6*1000000</f>
        <v>0</v>
      </c>
      <c r="K13" s="33"/>
      <c r="L13" s="33"/>
      <c r="M13" s="33"/>
      <c r="N13" s="33">
        <f>C35*'E Balans VL '!Y23/100/3.6*1000000</f>
        <v>20.335479471321577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1039.2976232073199</v>
      </c>
      <c r="C15" s="33"/>
      <c r="D15" s="37">
        <f>IF( ISERROR(IND_rest_gas_kWh/1000),0,IND_rest_gas_kWh/1000)*0.902</f>
        <v>427.68656937019131</v>
      </c>
      <c r="E15" s="33">
        <f>C37*'E Balans VL '!I15/100/3.6*1000000</f>
        <v>57.980507385585064</v>
      </c>
      <c r="F15" s="33">
        <f>C37*'E Balans VL '!L15/100/3.6*1000000+C37*'E Balans VL '!N15/100/3.6*1000000</f>
        <v>244.31769344975874</v>
      </c>
      <c r="G15" s="34"/>
      <c r="H15" s="33"/>
      <c r="I15" s="33"/>
      <c r="J15" s="40">
        <f>C37*'E Balans VL '!D15/100/3.6*1000000+C37*'E Balans VL '!E15/100/3.6*1000000</f>
        <v>2.6637851657881093</v>
      </c>
      <c r="K15" s="33"/>
      <c r="L15" s="33"/>
      <c r="M15" s="33"/>
      <c r="N15" s="33">
        <f>C37*'E Balans VL '!Y15/100/3.6*1000000</f>
        <v>48.233594847488774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4415.3450898047722</v>
      </c>
      <c r="C18" s="21">
        <f>C5+C16</f>
        <v>0</v>
      </c>
      <c r="D18" s="21">
        <f>MAX((D5+D16),0)</f>
        <v>2919.5284819721728</v>
      </c>
      <c r="E18" s="21">
        <f>MAX((E5+E16),0)</f>
        <v>772.65514004976922</v>
      </c>
      <c r="F18" s="21">
        <f>MAX((F5+F16),0)</f>
        <v>2900.0734566561896</v>
      </c>
      <c r="G18" s="21"/>
      <c r="H18" s="21"/>
      <c r="I18" s="21"/>
      <c r="J18" s="21">
        <f>MAX((J5+J16),0)</f>
        <v>2.6725731487436954</v>
      </c>
      <c r="K18" s="21"/>
      <c r="L18" s="21">
        <f>MAX((L5+L16),0)</f>
        <v>0</v>
      </c>
      <c r="M18" s="21"/>
      <c r="N18" s="21">
        <f>MAX((N5+N16),0)</f>
        <v>473.02643233459617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0.20025966727397099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884.21553858406526</v>
      </c>
      <c r="C22" s="23">
        <f ca="1">C18*C20</f>
        <v>0</v>
      </c>
      <c r="D22" s="23">
        <f>D18*D20</f>
        <v>589.74475335837894</v>
      </c>
      <c r="E22" s="23">
        <f>E18*E20</f>
        <v>175.39271679129763</v>
      </c>
      <c r="F22" s="23">
        <f>F18*F20</f>
        <v>774.31961292720268</v>
      </c>
      <c r="G22" s="23"/>
      <c r="H22" s="23"/>
      <c r="I22" s="23"/>
      <c r="J22" s="23">
        <f>J18*J20</f>
        <v>0.94609089465526819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185.271879417506</v>
      </c>
      <c r="C30" s="39">
        <f>IF(ISERROR(B30*3.6/1000000/'E Balans VL '!Z18*100),0,B30*3.6/1000000/'E Balans VL '!Z18*100)</f>
        <v>1.823027998595533E-2</v>
      </c>
      <c r="D30" s="235" t="s">
        <v>647</v>
      </c>
    </row>
    <row r="31" spans="1:18">
      <c r="A31" s="6" t="s">
        <v>32</v>
      </c>
      <c r="B31" s="37">
        <f>IF( ISERROR(IND_ander_ele_kWh/1000),0,IND_ander_ele_kWh/1000)</f>
        <v>2416.2356850464398</v>
      </c>
      <c r="C31" s="39">
        <f>IF(ISERROR(B31*3.6/1000000/'E Balans VL '!Z19*100),0,B31*3.6/1000000/'E Balans VL '!Z19*100)</f>
        <v>0.10522513667155277</v>
      </c>
      <c r="D31" s="235" t="s">
        <v>647</v>
      </c>
    </row>
    <row r="32" spans="1:18">
      <c r="A32" s="170" t="s">
        <v>40</v>
      </c>
      <c r="B32" s="37">
        <f>IF( ISERROR(IND_voed_ele_kWh/1000),0,IND_voed_ele_kWh/1000)</f>
        <v>664.30758252587293</v>
      </c>
      <c r="C32" s="39">
        <f>IF(ISERROR(B32*3.6/1000000/'E Balans VL '!Z20*100),0,B32*3.6/1000000/'E Balans VL '!Z20*100)</f>
        <v>0.12604278342672601</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110.232319607633</v>
      </c>
      <c r="C35" s="39">
        <f>IF(ISERROR(B35*3.6/1000000/'E Balans VL '!Z22*100),0,B35*3.6/1000000/'E Balans VL '!Z22*100)</f>
        <v>1.549977105528446E-2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1039.2976232073199</v>
      </c>
      <c r="C37" s="39">
        <f>IF(ISERROR(B37*3.6/1000000/'E Balans VL '!Z15*100),0,B37*3.6/1000000/'E Balans VL '!Z15*100)</f>
        <v>8.0090647074210382E-3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1573.2709292518459</v>
      </c>
      <c r="C5" s="17">
        <f>'Eigen informatie GS &amp; warmtenet'!B60</f>
        <v>0</v>
      </c>
      <c r="D5" s="30">
        <f>IF(ISERROR(SUM(LB_lb_gas_kWh,LB_rest_gas_kWh)/1000),0,SUM(LB_lb_gas_kWh,LB_rest_gas_kWh)/1000)*0.902</f>
        <v>453.25147896186513</v>
      </c>
      <c r="E5" s="17">
        <f>B17*'E Balans VL '!I25/3.6*1000000/100</f>
        <v>32.668514843497078</v>
      </c>
      <c r="F5" s="17">
        <f>B17*('E Balans VL '!L25/3.6*1000000+'E Balans VL '!N25/3.6*1000000)/100</f>
        <v>5559.9796092548768</v>
      </c>
      <c r="G5" s="18"/>
      <c r="H5" s="17"/>
      <c r="I5" s="17"/>
      <c r="J5" s="17">
        <f>('E Balans VL '!D25+'E Balans VL '!E25)/3.6*1000000*landbouw!B17/100</f>
        <v>180.44422491350193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1573.2709292518459</v>
      </c>
      <c r="C8" s="21">
        <f>C5+C6</f>
        <v>0</v>
      </c>
      <c r="D8" s="21">
        <f>MAX((D5+D6),0)</f>
        <v>453.25147896186513</v>
      </c>
      <c r="E8" s="21">
        <f>MAX((E5+E6),0)</f>
        <v>32.668514843497078</v>
      </c>
      <c r="F8" s="21">
        <f>MAX((F5+F6),0)</f>
        <v>5559.9796092548768</v>
      </c>
      <c r="G8" s="21"/>
      <c r="H8" s="21"/>
      <c r="I8" s="21"/>
      <c r="J8" s="21">
        <f>MAX((J5+J6),0)</f>
        <v>180.44422491350193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0.20025966727397099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315.06271282378583</v>
      </c>
      <c r="C12" s="23">
        <f ca="1">C8*C10</f>
        <v>0</v>
      </c>
      <c r="D12" s="23">
        <f>D8*D10</f>
        <v>91.556798750296764</v>
      </c>
      <c r="E12" s="23">
        <f>E8*E10</f>
        <v>7.4157528694738373</v>
      </c>
      <c r="F12" s="23">
        <f>F8*F10</f>
        <v>1484.5145556710522</v>
      </c>
      <c r="G12" s="23"/>
      <c r="H12" s="23"/>
      <c r="I12" s="23"/>
      <c r="J12" s="23">
        <f>J8*J10</f>
        <v>63.877255619379682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0.21942170800926239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276.5916427621504</v>
      </c>
      <c r="C26" s="245">
        <f>B26*'GWP N2O_CH4'!B5</f>
        <v>5808.4244980051581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163.63344153159187</v>
      </c>
      <c r="C27" s="245">
        <f>B27*'GWP N2O_CH4'!B5</f>
        <v>3436.3022721634293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4.7004115177734622</v>
      </c>
      <c r="C28" s="245">
        <f>B28*'GWP N2O_CH4'!B4</f>
        <v>1457.1275705097732</v>
      </c>
      <c r="D28" s="50"/>
    </row>
    <row r="29" spans="1:4">
      <c r="A29" s="41" t="s">
        <v>266</v>
      </c>
      <c r="B29" s="245">
        <f>B34*'ha_N2O bodem landbouw'!B4</f>
        <v>14.480553322454403</v>
      </c>
      <c r="C29" s="245">
        <f>B29*'GWP N2O_CH4'!B4</f>
        <v>4488.9715299608652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3.615649470889634E-3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6.4370400648168012E-5</v>
      </c>
      <c r="C5" s="434" t="s">
        <v>204</v>
      </c>
      <c r="D5" s="419">
        <f>SUM(D6:D11)</f>
        <v>5.3778818310014536E-5</v>
      </c>
      <c r="E5" s="419">
        <f>SUM(E6:E11)</f>
        <v>2.2125603456917562E-3</v>
      </c>
      <c r="F5" s="432" t="s">
        <v>204</v>
      </c>
      <c r="G5" s="419">
        <f>SUM(G6:G11)</f>
        <v>0.80671940341876414</v>
      </c>
      <c r="H5" s="419">
        <f>SUM(H6:H11)</f>
        <v>0.10211739194550232</v>
      </c>
      <c r="I5" s="434" t="s">
        <v>204</v>
      </c>
      <c r="J5" s="434" t="s">
        <v>204</v>
      </c>
      <c r="K5" s="434" t="s">
        <v>204</v>
      </c>
      <c r="L5" s="434" t="s">
        <v>204</v>
      </c>
      <c r="M5" s="419">
        <f>SUM(M6:M11)</f>
        <v>4.1079074657261898E-2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1.842775567186793E-5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1.6345565665062358E-5</v>
      </c>
      <c r="E6" s="836">
        <f>vkm_GW_PW*SUMIFS(TableVerdeelsleutelVkm[LPG],TableVerdeelsleutelVkm[Voertuigtype],"Lichte voertuigen")*SUMIFS(TableECFTransport[EnergieConsumptieFactor (PJ per km)],TableECFTransport[Index],CONCATENATE($A6,"_LPG_LPG"))</f>
        <v>5.8695577257891144E-4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0.11668353890922882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3.0121145505031695E-2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6.6414716611988807E-3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4.2813600070474641E-7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6.6996918326274829E-2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1.7623934193071384E-6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3.0250248162473695E-3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2.6766094242983066E-6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3.7352749000542017E-6</v>
      </c>
      <c r="E8" s="422">
        <f>vkm_NGW_PW*SUMIFS(TableVerdeelsleutelVkm[LPG],TableVerdeelsleutelVkm[Voertuigtype],"Lichte voertuigen")*SUMIFS(TableECFTransport[EnergieConsumptieFactor (PJ per km)],TableECFTransport[Index],CONCATENATE($A8,"_LPG_LPG"))</f>
        <v>1.2734112551525753E-4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2.3882635844559588E-2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6.5977086656049894E-3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1.3790868267560613E-3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2.2069871960059022E-8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4.436218647815458E-3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1.0965725606389065E-7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2.0030249648996396E-4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4.0656594045856327E-5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3.3697977744897977E-5</v>
      </c>
      <c r="E10" s="422">
        <f>vkm_SW_PW*SUMIFS(TableVerdeelsleutelVkm[LPG],TableVerdeelsleutelVkm[Voertuigtype],"Lichte voertuigen")*SUMIFS(TableECFTransport[EnergieConsumptieFactor (PJ per km)],TableECFTransport[Index],CONCATENATE($A10,"_LPG_LPG"))</f>
        <v>1.4982634475975871E-3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0.27278329866455875</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6.5387517188374683E-2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1.5297164084702081E-2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2.1592356334806399E-6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0.32193679302632672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9.1485358155760525E-6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1.4536024771867542E-2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17.880666846713336</v>
      </c>
      <c r="C14" s="21"/>
      <c r="D14" s="21">
        <f t="shared" ref="D14:M14" si="0">((D5)*10^9/3600)+D12</f>
        <v>14.938560641670705</v>
      </c>
      <c r="E14" s="21">
        <f t="shared" si="0"/>
        <v>614.60009602548791</v>
      </c>
      <c r="F14" s="21"/>
      <c r="G14" s="21">
        <f t="shared" si="0"/>
        <v>224088.72317187893</v>
      </c>
      <c r="H14" s="21">
        <f t="shared" si="0"/>
        <v>28365.942207083976</v>
      </c>
      <c r="I14" s="21"/>
      <c r="J14" s="21"/>
      <c r="K14" s="21"/>
      <c r="L14" s="21"/>
      <c r="M14" s="21">
        <f t="shared" si="0"/>
        <v>11410.854071461639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0.20025966727397099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3.5807763933595367</v>
      </c>
      <c r="C18" s="23"/>
      <c r="D18" s="23">
        <f t="shared" ref="D18:M18" si="1">D14*D16</f>
        <v>3.0175892496174828</v>
      </c>
      <c r="E18" s="23">
        <f t="shared" si="1"/>
        <v>139.51422179778575</v>
      </c>
      <c r="F18" s="23"/>
      <c r="G18" s="23">
        <f t="shared" si="1"/>
        <v>59831.689086891674</v>
      </c>
      <c r="H18" s="23">
        <f t="shared" si="1"/>
        <v>7063.1196095639098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3.0269852481321941E-5</v>
      </c>
      <c r="C50" s="316">
        <f t="shared" ref="C50:P50" si="2">SUM(C51:C52)</f>
        <v>0</v>
      </c>
      <c r="D50" s="316">
        <f t="shared" si="2"/>
        <v>0</v>
      </c>
      <c r="E50" s="316">
        <f t="shared" si="2"/>
        <v>0</v>
      </c>
      <c r="F50" s="316">
        <f t="shared" si="2"/>
        <v>0</v>
      </c>
      <c r="G50" s="316">
        <f t="shared" si="2"/>
        <v>5.8918555067668825E-3</v>
      </c>
      <c r="H50" s="316">
        <f t="shared" si="2"/>
        <v>0</v>
      </c>
      <c r="I50" s="316">
        <f t="shared" si="2"/>
        <v>0</v>
      </c>
      <c r="J50" s="316">
        <f t="shared" si="2"/>
        <v>0</v>
      </c>
      <c r="K50" s="316">
        <f t="shared" si="2"/>
        <v>0</v>
      </c>
      <c r="L50" s="316">
        <f t="shared" si="2"/>
        <v>0</v>
      </c>
      <c r="M50" s="316">
        <f t="shared" si="2"/>
        <v>2.6419575164529196E-4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3.0269852481321941E-5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5.8918555067668825E-3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2.6419575164529196E-4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8.4082923559227609</v>
      </c>
      <c r="C54" s="21">
        <f t="shared" ref="C54:P54" si="3">(C50)*10^9/3600</f>
        <v>0</v>
      </c>
      <c r="D54" s="21">
        <f t="shared" si="3"/>
        <v>0</v>
      </c>
      <c r="E54" s="21">
        <f t="shared" si="3"/>
        <v>0</v>
      </c>
      <c r="F54" s="21">
        <f t="shared" si="3"/>
        <v>0</v>
      </c>
      <c r="G54" s="21">
        <f t="shared" si="3"/>
        <v>1636.6265296574675</v>
      </c>
      <c r="H54" s="21">
        <f t="shared" si="3"/>
        <v>0</v>
      </c>
      <c r="I54" s="21">
        <f t="shared" si="3"/>
        <v>0</v>
      </c>
      <c r="J54" s="21">
        <f t="shared" si="3"/>
        <v>0</v>
      </c>
      <c r="K54" s="21">
        <f t="shared" si="3"/>
        <v>0</v>
      </c>
      <c r="L54" s="21">
        <f t="shared" si="3"/>
        <v>0</v>
      </c>
      <c r="M54" s="21">
        <f t="shared" si="3"/>
        <v>73.387708790358886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0.20025966727397099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1.6838418295393658</v>
      </c>
      <c r="C58" s="23">
        <f t="shared" ref="C58:P58" ca="1" si="4">C54*C56</f>
        <v>0</v>
      </c>
      <c r="D58" s="23">
        <f t="shared" si="4"/>
        <v>0</v>
      </c>
      <c r="E58" s="23">
        <f t="shared" si="4"/>
        <v>0</v>
      </c>
      <c r="F58" s="23">
        <f t="shared" si="4"/>
        <v>0</v>
      </c>
      <c r="G58" s="23">
        <f t="shared" si="4"/>
        <v>436.97928341854384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5105.478112646917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5105.478112646917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17150.155750263075</v>
      </c>
      <c r="D10" s="640">
        <f ca="1">tertiair!C16</f>
        <v>0</v>
      </c>
      <c r="E10" s="640">
        <f ca="1">tertiair!D16</f>
        <v>21267.787766404086</v>
      </c>
      <c r="F10" s="640">
        <f>tertiair!E16</f>
        <v>100.56203426123346</v>
      </c>
      <c r="G10" s="640">
        <f ca="1">tertiair!F16</f>
        <v>2010.0774571166626</v>
      </c>
      <c r="H10" s="640">
        <f>tertiair!G16</f>
        <v>0</v>
      </c>
      <c r="I10" s="640">
        <f>tertiair!H16</f>
        <v>0</v>
      </c>
      <c r="J10" s="640">
        <f>tertiair!I16</f>
        <v>0</v>
      </c>
      <c r="K10" s="640">
        <f>tertiair!J16</f>
        <v>24.89948948997867</v>
      </c>
      <c r="L10" s="640">
        <f>tertiair!K16</f>
        <v>0</v>
      </c>
      <c r="M10" s="640">
        <f ca="1">tertiair!L16</f>
        <v>0</v>
      </c>
      <c r="N10" s="640">
        <f>tertiair!M16</f>
        <v>0</v>
      </c>
      <c r="O10" s="640">
        <f ca="1">tertiair!N16</f>
        <v>891.60708709102823</v>
      </c>
      <c r="P10" s="640">
        <f>tertiair!O16</f>
        <v>7.8166666666666664</v>
      </c>
      <c r="Q10" s="641">
        <f>tertiair!P16</f>
        <v>57.2</v>
      </c>
      <c r="R10" s="643">
        <f ca="1">SUM(C10:Q10)</f>
        <v>41510.106251292724</v>
      </c>
      <c r="S10" s="67"/>
    </row>
    <row r="11" spans="1:19" s="444" customFormat="1">
      <c r="A11" s="754" t="s">
        <v>214</v>
      </c>
      <c r="B11" s="759"/>
      <c r="C11" s="640">
        <f>huishoudens!B8</f>
        <v>30288.080558292535</v>
      </c>
      <c r="D11" s="640">
        <f>huishoudens!C8</f>
        <v>0</v>
      </c>
      <c r="E11" s="640">
        <f>huishoudens!D8</f>
        <v>69688.802689387841</v>
      </c>
      <c r="F11" s="640">
        <f>huishoudens!E8</f>
        <v>1601.514038775372</v>
      </c>
      <c r="G11" s="640">
        <f>huishoudens!F8</f>
        <v>49079.154844591016</v>
      </c>
      <c r="H11" s="640">
        <f>huishoudens!G8</f>
        <v>0</v>
      </c>
      <c r="I11" s="640">
        <f>huishoudens!H8</f>
        <v>0</v>
      </c>
      <c r="J11" s="640">
        <f>huishoudens!I8</f>
        <v>0</v>
      </c>
      <c r="K11" s="640">
        <f>huishoudens!J8</f>
        <v>929.46146760048737</v>
      </c>
      <c r="L11" s="640">
        <f>huishoudens!K8</f>
        <v>0</v>
      </c>
      <c r="M11" s="640">
        <f>huishoudens!L8</f>
        <v>0</v>
      </c>
      <c r="N11" s="640">
        <f>huishoudens!M8</f>
        <v>0</v>
      </c>
      <c r="O11" s="640">
        <f>huishoudens!N8</f>
        <v>10287.364009200945</v>
      </c>
      <c r="P11" s="640">
        <f>huishoudens!O8</f>
        <v>261.07666666666665</v>
      </c>
      <c r="Q11" s="641">
        <f>huishoudens!P8</f>
        <v>934.26666666666665</v>
      </c>
      <c r="R11" s="643">
        <f>SUM(C11:Q11)</f>
        <v>163069.72094118153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4415.3450898047722</v>
      </c>
      <c r="D13" s="640">
        <f>industrie!C18</f>
        <v>0</v>
      </c>
      <c r="E13" s="640">
        <f>industrie!D18</f>
        <v>2919.5284819721728</v>
      </c>
      <c r="F13" s="640">
        <f>industrie!E18</f>
        <v>772.65514004976922</v>
      </c>
      <c r="G13" s="640">
        <f>industrie!F18</f>
        <v>2900.0734566561896</v>
      </c>
      <c r="H13" s="640">
        <f>industrie!G18</f>
        <v>0</v>
      </c>
      <c r="I13" s="640">
        <f>industrie!H18</f>
        <v>0</v>
      </c>
      <c r="J13" s="640">
        <f>industrie!I18</f>
        <v>0</v>
      </c>
      <c r="K13" s="640">
        <f>industrie!J18</f>
        <v>2.6725731487436954</v>
      </c>
      <c r="L13" s="640">
        <f>industrie!K18</f>
        <v>0</v>
      </c>
      <c r="M13" s="640">
        <f>industrie!L18</f>
        <v>0</v>
      </c>
      <c r="N13" s="640">
        <f>industrie!M18</f>
        <v>0</v>
      </c>
      <c r="O13" s="640">
        <f>industrie!N18</f>
        <v>473.02643233459617</v>
      </c>
      <c r="P13" s="640">
        <f>industrie!O18</f>
        <v>0</v>
      </c>
      <c r="Q13" s="641">
        <f>industrie!P18</f>
        <v>0</v>
      </c>
      <c r="R13" s="643">
        <f>SUM(C13:Q13)</f>
        <v>11483.301173966243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51853.581398360388</v>
      </c>
      <c r="D16" s="675">
        <f t="shared" ref="D16:R16" ca="1" si="0">SUM(D9:D15)</f>
        <v>0</v>
      </c>
      <c r="E16" s="675">
        <f t="shared" ca="1" si="0"/>
        <v>93876.118937764099</v>
      </c>
      <c r="F16" s="675">
        <f t="shared" si="0"/>
        <v>2474.7312130863747</v>
      </c>
      <c r="G16" s="675">
        <f t="shared" ca="1" si="0"/>
        <v>53989.305758363866</v>
      </c>
      <c r="H16" s="675">
        <f t="shared" si="0"/>
        <v>0</v>
      </c>
      <c r="I16" s="675">
        <f t="shared" si="0"/>
        <v>0</v>
      </c>
      <c r="J16" s="675">
        <f t="shared" si="0"/>
        <v>0</v>
      </c>
      <c r="K16" s="675">
        <f t="shared" si="0"/>
        <v>957.03353023920977</v>
      </c>
      <c r="L16" s="675">
        <f t="shared" si="0"/>
        <v>0</v>
      </c>
      <c r="M16" s="675">
        <f t="shared" ca="1" si="0"/>
        <v>0</v>
      </c>
      <c r="N16" s="675">
        <f t="shared" si="0"/>
        <v>0</v>
      </c>
      <c r="O16" s="675">
        <f t="shared" ca="1" si="0"/>
        <v>11651.997528626569</v>
      </c>
      <c r="P16" s="675">
        <f t="shared" si="0"/>
        <v>268.89333333333332</v>
      </c>
      <c r="Q16" s="675">
        <f t="shared" si="0"/>
        <v>991.4666666666667</v>
      </c>
      <c r="R16" s="675">
        <f t="shared" ca="1" si="0"/>
        <v>216063.12836644048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8.4082923559227609</v>
      </c>
      <c r="D19" s="640">
        <f>transport!C54</f>
        <v>0</v>
      </c>
      <c r="E19" s="640">
        <f>transport!D54</f>
        <v>0</v>
      </c>
      <c r="F19" s="640">
        <f>transport!E54</f>
        <v>0</v>
      </c>
      <c r="G19" s="640">
        <f>transport!F54</f>
        <v>0</v>
      </c>
      <c r="H19" s="640">
        <f>transport!G54</f>
        <v>1636.6265296574675</v>
      </c>
      <c r="I19" s="640">
        <f>transport!H54</f>
        <v>0</v>
      </c>
      <c r="J19" s="640">
        <f>transport!I54</f>
        <v>0</v>
      </c>
      <c r="K19" s="640">
        <f>transport!J54</f>
        <v>0</v>
      </c>
      <c r="L19" s="640">
        <f>transport!K54</f>
        <v>0</v>
      </c>
      <c r="M19" s="640">
        <f>transport!L54</f>
        <v>0</v>
      </c>
      <c r="N19" s="640">
        <f>transport!M54</f>
        <v>73.387708790358886</v>
      </c>
      <c r="O19" s="640">
        <f>transport!N54</f>
        <v>0</v>
      </c>
      <c r="P19" s="640">
        <f>transport!O54</f>
        <v>0</v>
      </c>
      <c r="Q19" s="641">
        <f>transport!P54</f>
        <v>0</v>
      </c>
      <c r="R19" s="643">
        <f>SUM(C19:Q19)</f>
        <v>1718.4225308037492</v>
      </c>
      <c r="S19" s="67"/>
    </row>
    <row r="20" spans="1:19" s="444" customFormat="1">
      <c r="A20" s="754" t="s">
        <v>296</v>
      </c>
      <c r="B20" s="759"/>
      <c r="C20" s="640">
        <f>transport!B14</f>
        <v>17.880666846713336</v>
      </c>
      <c r="D20" s="640">
        <f>transport!C14</f>
        <v>0</v>
      </c>
      <c r="E20" s="640">
        <f>transport!D14</f>
        <v>14.938560641670705</v>
      </c>
      <c r="F20" s="640">
        <f>transport!E14</f>
        <v>614.60009602548791</v>
      </c>
      <c r="G20" s="640">
        <f>transport!F14</f>
        <v>0</v>
      </c>
      <c r="H20" s="640">
        <f>transport!G14</f>
        <v>224088.72317187893</v>
      </c>
      <c r="I20" s="640">
        <f>transport!H14</f>
        <v>28365.942207083976</v>
      </c>
      <c r="J20" s="640">
        <f>transport!I14</f>
        <v>0</v>
      </c>
      <c r="K20" s="640">
        <f>transport!J14</f>
        <v>0</v>
      </c>
      <c r="L20" s="640">
        <f>transport!K14</f>
        <v>0</v>
      </c>
      <c r="M20" s="640">
        <f>transport!L14</f>
        <v>0</v>
      </c>
      <c r="N20" s="640">
        <f>transport!M14</f>
        <v>11410.854071461639</v>
      </c>
      <c r="O20" s="640">
        <f>transport!N14</f>
        <v>0</v>
      </c>
      <c r="P20" s="640">
        <f>transport!O14</f>
        <v>0</v>
      </c>
      <c r="Q20" s="641">
        <f>transport!P14</f>
        <v>0</v>
      </c>
      <c r="R20" s="643">
        <f>SUM(C20:Q20)</f>
        <v>264512.9387739384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26.288959202636097</v>
      </c>
      <c r="D22" s="757">
        <f t="shared" ref="D22:R22" si="1">SUM(D18:D21)</f>
        <v>0</v>
      </c>
      <c r="E22" s="757">
        <f t="shared" si="1"/>
        <v>14.938560641670705</v>
      </c>
      <c r="F22" s="757">
        <f t="shared" si="1"/>
        <v>614.60009602548791</v>
      </c>
      <c r="G22" s="757">
        <f t="shared" si="1"/>
        <v>0</v>
      </c>
      <c r="H22" s="757">
        <f t="shared" si="1"/>
        <v>225725.34970153638</v>
      </c>
      <c r="I22" s="757">
        <f t="shared" si="1"/>
        <v>28365.942207083976</v>
      </c>
      <c r="J22" s="757">
        <f t="shared" si="1"/>
        <v>0</v>
      </c>
      <c r="K22" s="757">
        <f t="shared" si="1"/>
        <v>0</v>
      </c>
      <c r="L22" s="757">
        <f t="shared" si="1"/>
        <v>0</v>
      </c>
      <c r="M22" s="757">
        <f t="shared" si="1"/>
        <v>0</v>
      </c>
      <c r="N22" s="757">
        <f t="shared" si="1"/>
        <v>11484.241780251998</v>
      </c>
      <c r="O22" s="757">
        <f t="shared" si="1"/>
        <v>0</v>
      </c>
      <c r="P22" s="757">
        <f t="shared" si="1"/>
        <v>0</v>
      </c>
      <c r="Q22" s="757">
        <f t="shared" si="1"/>
        <v>0</v>
      </c>
      <c r="R22" s="757">
        <f t="shared" si="1"/>
        <v>266231.36130474217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1573.2709292518459</v>
      </c>
      <c r="D24" s="640">
        <f>+landbouw!C8</f>
        <v>0</v>
      </c>
      <c r="E24" s="640">
        <f>+landbouw!D8</f>
        <v>453.25147896186513</v>
      </c>
      <c r="F24" s="640">
        <f>+landbouw!E8</f>
        <v>32.668514843497078</v>
      </c>
      <c r="G24" s="640">
        <f>+landbouw!F8</f>
        <v>5559.9796092548768</v>
      </c>
      <c r="H24" s="640">
        <f>+landbouw!G8</f>
        <v>0</v>
      </c>
      <c r="I24" s="640">
        <f>+landbouw!H8</f>
        <v>0</v>
      </c>
      <c r="J24" s="640">
        <f>+landbouw!I8</f>
        <v>0</v>
      </c>
      <c r="K24" s="640">
        <f>+landbouw!J8</f>
        <v>180.44422491350193</v>
      </c>
      <c r="L24" s="640">
        <f>+landbouw!K8</f>
        <v>0</v>
      </c>
      <c r="M24" s="640">
        <f>+landbouw!L8</f>
        <v>0</v>
      </c>
      <c r="N24" s="640">
        <f>+landbouw!M8</f>
        <v>0</v>
      </c>
      <c r="O24" s="640">
        <f>+landbouw!N8</f>
        <v>0</v>
      </c>
      <c r="P24" s="640">
        <f>+landbouw!O8</f>
        <v>0</v>
      </c>
      <c r="Q24" s="641">
        <f>+landbouw!P8</f>
        <v>0</v>
      </c>
      <c r="R24" s="643">
        <f>SUM(C24:Q24)</f>
        <v>7799.6147572255868</v>
      </c>
      <c r="S24" s="67"/>
    </row>
    <row r="25" spans="1:19" s="444" customFormat="1" ht="15" thickBot="1">
      <c r="A25" s="776" t="s">
        <v>806</v>
      </c>
      <c r="B25" s="939"/>
      <c r="C25" s="940">
        <f>IF(Onbekend_ele_kWh="---",0,Onbekend_ele_kWh)/1000+IF(REST_rest_ele_kWh="---",0,REST_rest_ele_kWh)/1000</f>
        <v>948.62158745881402</v>
      </c>
      <c r="D25" s="940"/>
      <c r="E25" s="940">
        <f>IF(onbekend_gas_kWh="---",0,onbekend_gas_kWh)/1000+IF(REST_rest_gas_kWh="---",0,REST_rest_gas_kWh)/1000</f>
        <v>1775.1556707887801</v>
      </c>
      <c r="F25" s="940"/>
      <c r="G25" s="940"/>
      <c r="H25" s="940"/>
      <c r="I25" s="940"/>
      <c r="J25" s="940"/>
      <c r="K25" s="940"/>
      <c r="L25" s="940"/>
      <c r="M25" s="940"/>
      <c r="N25" s="940"/>
      <c r="O25" s="940"/>
      <c r="P25" s="940"/>
      <c r="Q25" s="941"/>
      <c r="R25" s="643">
        <f>SUM(C25:Q25)</f>
        <v>2723.7772582475941</v>
      </c>
      <c r="S25" s="67"/>
    </row>
    <row r="26" spans="1:19" s="444" customFormat="1" ht="15.75" thickBot="1">
      <c r="A26" s="648" t="s">
        <v>807</v>
      </c>
      <c r="B26" s="762"/>
      <c r="C26" s="757">
        <f>SUM(C24:C25)</f>
        <v>2521.8925167106599</v>
      </c>
      <c r="D26" s="757">
        <f t="shared" ref="D26:R26" si="2">SUM(D24:D25)</f>
        <v>0</v>
      </c>
      <c r="E26" s="757">
        <f t="shared" si="2"/>
        <v>2228.4071497506452</v>
      </c>
      <c r="F26" s="757">
        <f t="shared" si="2"/>
        <v>32.668514843497078</v>
      </c>
      <c r="G26" s="757">
        <f t="shared" si="2"/>
        <v>5559.9796092548768</v>
      </c>
      <c r="H26" s="757">
        <f t="shared" si="2"/>
        <v>0</v>
      </c>
      <c r="I26" s="757">
        <f t="shared" si="2"/>
        <v>0</v>
      </c>
      <c r="J26" s="757">
        <f t="shared" si="2"/>
        <v>0</v>
      </c>
      <c r="K26" s="757">
        <f t="shared" si="2"/>
        <v>180.44422491350193</v>
      </c>
      <c r="L26" s="757">
        <f t="shared" si="2"/>
        <v>0</v>
      </c>
      <c r="M26" s="757">
        <f t="shared" si="2"/>
        <v>0</v>
      </c>
      <c r="N26" s="757">
        <f t="shared" si="2"/>
        <v>0</v>
      </c>
      <c r="O26" s="757">
        <f t="shared" si="2"/>
        <v>0</v>
      </c>
      <c r="P26" s="757">
        <f t="shared" si="2"/>
        <v>0</v>
      </c>
      <c r="Q26" s="757">
        <f t="shared" si="2"/>
        <v>0</v>
      </c>
      <c r="R26" s="757">
        <f t="shared" si="2"/>
        <v>10523.39201547318</v>
      </c>
      <c r="S26" s="67"/>
    </row>
    <row r="27" spans="1:19" s="444" customFormat="1" ht="17.25" thickTop="1" thickBot="1">
      <c r="A27" s="649" t="s">
        <v>109</v>
      </c>
      <c r="B27" s="749"/>
      <c r="C27" s="650">
        <f ca="1">C22+C16+C26</f>
        <v>54401.762874273678</v>
      </c>
      <c r="D27" s="650">
        <f t="shared" ref="D27:R27" ca="1" si="3">D22+D16+D26</f>
        <v>0</v>
      </c>
      <c r="E27" s="650">
        <f t="shared" ca="1" si="3"/>
        <v>96119.464648156427</v>
      </c>
      <c r="F27" s="650">
        <f t="shared" si="3"/>
        <v>3121.9998239553597</v>
      </c>
      <c r="G27" s="650">
        <f t="shared" ca="1" si="3"/>
        <v>59549.285367618744</v>
      </c>
      <c r="H27" s="650">
        <f t="shared" si="3"/>
        <v>225725.34970153638</v>
      </c>
      <c r="I27" s="650">
        <f t="shared" si="3"/>
        <v>28365.942207083976</v>
      </c>
      <c r="J27" s="650">
        <f t="shared" si="3"/>
        <v>0</v>
      </c>
      <c r="K27" s="650">
        <f t="shared" si="3"/>
        <v>1137.4777551527118</v>
      </c>
      <c r="L27" s="650">
        <f t="shared" si="3"/>
        <v>0</v>
      </c>
      <c r="M27" s="650">
        <f t="shared" ca="1" si="3"/>
        <v>0</v>
      </c>
      <c r="N27" s="650">
        <f t="shared" si="3"/>
        <v>11484.241780251998</v>
      </c>
      <c r="O27" s="650">
        <f t="shared" ca="1" si="3"/>
        <v>11651.997528626569</v>
      </c>
      <c r="P27" s="650">
        <f t="shared" si="3"/>
        <v>268.89333333333332</v>
      </c>
      <c r="Q27" s="650">
        <f t="shared" si="3"/>
        <v>991.4666666666667</v>
      </c>
      <c r="R27" s="650">
        <f t="shared" ca="1" si="3"/>
        <v>492817.8816866558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3434.4844842444636</v>
      </c>
      <c r="D40" s="640">
        <f ca="1">tertiair!C20</f>
        <v>0</v>
      </c>
      <c r="E40" s="640">
        <f ca="1">tertiair!D20</f>
        <v>4296.0931288136253</v>
      </c>
      <c r="F40" s="640">
        <f>tertiair!E20</f>
        <v>22.827581777299997</v>
      </c>
      <c r="G40" s="640">
        <f ca="1">tertiair!F20</f>
        <v>536.6906810501489</v>
      </c>
      <c r="H40" s="640">
        <f>tertiair!G20</f>
        <v>0</v>
      </c>
      <c r="I40" s="640">
        <f>tertiair!H20</f>
        <v>0</v>
      </c>
      <c r="J40" s="640">
        <f>tertiair!I20</f>
        <v>0</v>
      </c>
      <c r="K40" s="640">
        <f>tertiair!J20</f>
        <v>8.8144192794524479</v>
      </c>
      <c r="L40" s="640">
        <f>tertiair!K20</f>
        <v>0</v>
      </c>
      <c r="M40" s="640">
        <f ca="1">tertiair!L20</f>
        <v>0</v>
      </c>
      <c r="N40" s="640">
        <f>tertiair!M20</f>
        <v>0</v>
      </c>
      <c r="O40" s="640">
        <f ca="1">tertiair!N20</f>
        <v>0</v>
      </c>
      <c r="P40" s="640">
        <f>tertiair!O20</f>
        <v>0</v>
      </c>
      <c r="Q40" s="717">
        <f>tertiair!P20</f>
        <v>0</v>
      </c>
      <c r="R40" s="795">
        <f t="shared" ca="1" si="4"/>
        <v>8298.9102951649893</v>
      </c>
    </row>
    <row r="41" spans="1:18">
      <c r="A41" s="767" t="s">
        <v>214</v>
      </c>
      <c r="B41" s="774"/>
      <c r="C41" s="640">
        <f ca="1">huishoudens!B12</f>
        <v>6065.4809349708921</v>
      </c>
      <c r="D41" s="640">
        <f ca="1">huishoudens!C12</f>
        <v>0</v>
      </c>
      <c r="E41" s="640">
        <f>huishoudens!D12</f>
        <v>14077.138143256345</v>
      </c>
      <c r="F41" s="640">
        <f>huishoudens!E12</f>
        <v>363.54368680200946</v>
      </c>
      <c r="G41" s="640">
        <f>huishoudens!F12</f>
        <v>13104.134343505802</v>
      </c>
      <c r="H41" s="640">
        <f>huishoudens!G12</f>
        <v>0</v>
      </c>
      <c r="I41" s="640">
        <f>huishoudens!H12</f>
        <v>0</v>
      </c>
      <c r="J41" s="640">
        <f>huishoudens!I12</f>
        <v>0</v>
      </c>
      <c r="K41" s="640">
        <f>huishoudens!J12</f>
        <v>329.02935953057249</v>
      </c>
      <c r="L41" s="640">
        <f>huishoudens!K12</f>
        <v>0</v>
      </c>
      <c r="M41" s="640">
        <f>huishoudens!L12</f>
        <v>0</v>
      </c>
      <c r="N41" s="640">
        <f>huishoudens!M12</f>
        <v>0</v>
      </c>
      <c r="O41" s="640">
        <f>huishoudens!N12</f>
        <v>0</v>
      </c>
      <c r="P41" s="640">
        <f>huishoudens!O12</f>
        <v>0</v>
      </c>
      <c r="Q41" s="717">
        <f>huishoudens!P12</f>
        <v>0</v>
      </c>
      <c r="R41" s="795">
        <f t="shared" ca="1" si="4"/>
        <v>33939.326468065621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884.21553858406526</v>
      </c>
      <c r="D43" s="640">
        <f ca="1">industrie!C22</f>
        <v>0</v>
      </c>
      <c r="E43" s="640">
        <f>industrie!D22</f>
        <v>589.74475335837894</v>
      </c>
      <c r="F43" s="640">
        <f>industrie!E22</f>
        <v>175.39271679129763</v>
      </c>
      <c r="G43" s="640">
        <f>industrie!F22</f>
        <v>774.31961292720268</v>
      </c>
      <c r="H43" s="640">
        <f>industrie!G22</f>
        <v>0</v>
      </c>
      <c r="I43" s="640">
        <f>industrie!H22</f>
        <v>0</v>
      </c>
      <c r="J43" s="640">
        <f>industrie!I22</f>
        <v>0</v>
      </c>
      <c r="K43" s="640">
        <f>industrie!J22</f>
        <v>0.94609089465526819</v>
      </c>
      <c r="L43" s="640">
        <f>industrie!K22</f>
        <v>0</v>
      </c>
      <c r="M43" s="640">
        <f>industrie!L22</f>
        <v>0</v>
      </c>
      <c r="N43" s="640">
        <f>industrie!M22</f>
        <v>0</v>
      </c>
      <c r="O43" s="640">
        <f>industrie!N22</f>
        <v>0</v>
      </c>
      <c r="P43" s="640">
        <f>industrie!O22</f>
        <v>0</v>
      </c>
      <c r="Q43" s="717">
        <f>industrie!P22</f>
        <v>0</v>
      </c>
      <c r="R43" s="794">
        <f t="shared" ca="1" si="4"/>
        <v>2424.6187125555998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10384.180957799421</v>
      </c>
      <c r="D46" s="675">
        <f t="shared" ref="D46:Q46" ca="1" si="5">SUM(D39:D45)</f>
        <v>0</v>
      </c>
      <c r="E46" s="675">
        <f t="shared" ca="1" si="5"/>
        <v>18962.97602542835</v>
      </c>
      <c r="F46" s="675">
        <f t="shared" si="5"/>
        <v>561.76398537060709</v>
      </c>
      <c r="G46" s="675">
        <f t="shared" ca="1" si="5"/>
        <v>14415.144637483154</v>
      </c>
      <c r="H46" s="675">
        <f t="shared" si="5"/>
        <v>0</v>
      </c>
      <c r="I46" s="675">
        <f t="shared" si="5"/>
        <v>0</v>
      </c>
      <c r="J46" s="675">
        <f t="shared" si="5"/>
        <v>0</v>
      </c>
      <c r="K46" s="675">
        <f t="shared" si="5"/>
        <v>338.7898697046802</v>
      </c>
      <c r="L46" s="675">
        <f t="shared" si="5"/>
        <v>0</v>
      </c>
      <c r="M46" s="675">
        <f t="shared" ca="1" si="5"/>
        <v>0</v>
      </c>
      <c r="N46" s="675">
        <f t="shared" si="5"/>
        <v>0</v>
      </c>
      <c r="O46" s="675">
        <f t="shared" ca="1" si="5"/>
        <v>0</v>
      </c>
      <c r="P46" s="675">
        <f t="shared" si="5"/>
        <v>0</v>
      </c>
      <c r="Q46" s="675">
        <f t="shared" si="5"/>
        <v>0</v>
      </c>
      <c r="R46" s="675">
        <f ca="1">SUM(R39:R45)</f>
        <v>44662.855475786215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1.6838418295393658</v>
      </c>
      <c r="D49" s="640">
        <f ca="1">transport!C58</f>
        <v>0</v>
      </c>
      <c r="E49" s="640">
        <f>transport!D58</f>
        <v>0</v>
      </c>
      <c r="F49" s="640">
        <f>transport!E58</f>
        <v>0</v>
      </c>
      <c r="G49" s="640">
        <f>transport!F58</f>
        <v>0</v>
      </c>
      <c r="H49" s="640">
        <f>transport!G58</f>
        <v>436.97928341854384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438.66312524808319</v>
      </c>
    </row>
    <row r="50" spans="1:18">
      <c r="A50" s="770" t="s">
        <v>296</v>
      </c>
      <c r="B50" s="780"/>
      <c r="C50" s="646">
        <f ca="1">transport!B18</f>
        <v>3.5807763933595367</v>
      </c>
      <c r="D50" s="646">
        <f>transport!C18</f>
        <v>0</v>
      </c>
      <c r="E50" s="646">
        <f>transport!D18</f>
        <v>3.0175892496174828</v>
      </c>
      <c r="F50" s="646">
        <f>transport!E18</f>
        <v>139.51422179778575</v>
      </c>
      <c r="G50" s="646">
        <f>transport!F18</f>
        <v>0</v>
      </c>
      <c r="H50" s="646">
        <f>transport!G18</f>
        <v>59831.689086891674</v>
      </c>
      <c r="I50" s="646">
        <f>transport!H18</f>
        <v>7063.1196095639098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67040.921283896343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5.2646182228989025</v>
      </c>
      <c r="D52" s="675">
        <f t="shared" ref="D52:Q52" ca="1" si="6">SUM(D48:D51)</f>
        <v>0</v>
      </c>
      <c r="E52" s="675">
        <f t="shared" si="6"/>
        <v>3.0175892496174828</v>
      </c>
      <c r="F52" s="675">
        <f t="shared" si="6"/>
        <v>139.51422179778575</v>
      </c>
      <c r="G52" s="675">
        <f t="shared" si="6"/>
        <v>0</v>
      </c>
      <c r="H52" s="675">
        <f t="shared" si="6"/>
        <v>60268.668370310217</v>
      </c>
      <c r="I52" s="675">
        <f t="shared" si="6"/>
        <v>7063.1196095639098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67479.584409144431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315.06271282378583</v>
      </c>
      <c r="D54" s="646">
        <f ca="1">+landbouw!C12</f>
        <v>0</v>
      </c>
      <c r="E54" s="646">
        <f>+landbouw!D12</f>
        <v>91.556798750296764</v>
      </c>
      <c r="F54" s="646">
        <f>+landbouw!E12</f>
        <v>7.4157528694738373</v>
      </c>
      <c r="G54" s="646">
        <f>+landbouw!F12</f>
        <v>1484.5145556710522</v>
      </c>
      <c r="H54" s="646">
        <f>+landbouw!G12</f>
        <v>0</v>
      </c>
      <c r="I54" s="646">
        <f>+landbouw!H12</f>
        <v>0</v>
      </c>
      <c r="J54" s="646">
        <f>+landbouw!I12</f>
        <v>0</v>
      </c>
      <c r="K54" s="646">
        <f>+landbouw!J12</f>
        <v>63.877255619379682</v>
      </c>
      <c r="L54" s="646">
        <f>+landbouw!K12</f>
        <v>0</v>
      </c>
      <c r="M54" s="646">
        <f>+landbouw!L12</f>
        <v>0</v>
      </c>
      <c r="N54" s="646">
        <f>+landbouw!M12</f>
        <v>0</v>
      </c>
      <c r="O54" s="646">
        <f>+landbouw!N12</f>
        <v>0</v>
      </c>
      <c r="P54" s="646">
        <f>+landbouw!O12</f>
        <v>0</v>
      </c>
      <c r="Q54" s="647">
        <f>+landbouw!P12</f>
        <v>0</v>
      </c>
      <c r="R54" s="674">
        <f ca="1">SUM(C54:Q54)</f>
        <v>1962.4270757339884</v>
      </c>
    </row>
    <row r="55" spans="1:18" ht="15" thickBot="1">
      <c r="A55" s="770" t="s">
        <v>806</v>
      </c>
      <c r="B55" s="780"/>
      <c r="C55" s="646">
        <f ca="1">C25*'EF ele_warmte'!B12</f>
        <v>189.97064347340827</v>
      </c>
      <c r="D55" s="646"/>
      <c r="E55" s="646">
        <f>E25*EF_CO2_aardgas</f>
        <v>358.5814454993336</v>
      </c>
      <c r="F55" s="646"/>
      <c r="G55" s="646"/>
      <c r="H55" s="646"/>
      <c r="I55" s="646"/>
      <c r="J55" s="646"/>
      <c r="K55" s="646"/>
      <c r="L55" s="646"/>
      <c r="M55" s="646"/>
      <c r="N55" s="646"/>
      <c r="O55" s="646"/>
      <c r="P55" s="646"/>
      <c r="Q55" s="647"/>
      <c r="R55" s="674">
        <f ca="1">SUM(C55:Q55)</f>
        <v>548.5520889727419</v>
      </c>
    </row>
    <row r="56" spans="1:18" ht="15.75" thickBot="1">
      <c r="A56" s="768" t="s">
        <v>807</v>
      </c>
      <c r="B56" s="781"/>
      <c r="C56" s="675">
        <f ca="1">SUM(C54:C55)</f>
        <v>505.03335629719413</v>
      </c>
      <c r="D56" s="675">
        <f t="shared" ref="D56:Q56" ca="1" si="7">SUM(D54:D55)</f>
        <v>0</v>
      </c>
      <c r="E56" s="675">
        <f t="shared" si="7"/>
        <v>450.13824424963036</v>
      </c>
      <c r="F56" s="675">
        <f t="shared" si="7"/>
        <v>7.4157528694738373</v>
      </c>
      <c r="G56" s="675">
        <f t="shared" si="7"/>
        <v>1484.5145556710522</v>
      </c>
      <c r="H56" s="675">
        <f t="shared" si="7"/>
        <v>0</v>
      </c>
      <c r="I56" s="675">
        <f t="shared" si="7"/>
        <v>0</v>
      </c>
      <c r="J56" s="675">
        <f t="shared" si="7"/>
        <v>0</v>
      </c>
      <c r="K56" s="675">
        <f t="shared" si="7"/>
        <v>63.877255619379682</v>
      </c>
      <c r="L56" s="675">
        <f t="shared" si="7"/>
        <v>0</v>
      </c>
      <c r="M56" s="675">
        <f t="shared" si="7"/>
        <v>0</v>
      </c>
      <c r="N56" s="675">
        <f t="shared" si="7"/>
        <v>0</v>
      </c>
      <c r="O56" s="675">
        <f t="shared" si="7"/>
        <v>0</v>
      </c>
      <c r="P56" s="675">
        <f t="shared" si="7"/>
        <v>0</v>
      </c>
      <c r="Q56" s="676">
        <f t="shared" si="7"/>
        <v>0</v>
      </c>
      <c r="R56" s="677">
        <f ca="1">SUM(R54:R55)</f>
        <v>2510.9791647067304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10894.478932319513</v>
      </c>
      <c r="D61" s="683">
        <f t="shared" ref="D61:Q61" ca="1" si="8">D46+D52+D56</f>
        <v>0</v>
      </c>
      <c r="E61" s="683">
        <f t="shared" ca="1" si="8"/>
        <v>19416.131858927598</v>
      </c>
      <c r="F61" s="683">
        <f t="shared" si="8"/>
        <v>708.69396003786665</v>
      </c>
      <c r="G61" s="683">
        <f t="shared" ca="1" si="8"/>
        <v>15899.659193154206</v>
      </c>
      <c r="H61" s="683">
        <f t="shared" si="8"/>
        <v>60268.668370310217</v>
      </c>
      <c r="I61" s="683">
        <f t="shared" si="8"/>
        <v>7063.1196095639098</v>
      </c>
      <c r="J61" s="683">
        <f t="shared" si="8"/>
        <v>0</v>
      </c>
      <c r="K61" s="683">
        <f t="shared" si="8"/>
        <v>402.6671253240599</v>
      </c>
      <c r="L61" s="683">
        <f t="shared" si="8"/>
        <v>0</v>
      </c>
      <c r="M61" s="683">
        <f t="shared" ca="1" si="8"/>
        <v>0</v>
      </c>
      <c r="N61" s="683">
        <f t="shared" si="8"/>
        <v>0</v>
      </c>
      <c r="O61" s="683">
        <f t="shared" ca="1" si="8"/>
        <v>0</v>
      </c>
      <c r="P61" s="683">
        <f t="shared" si="8"/>
        <v>0</v>
      </c>
      <c r="Q61" s="683">
        <f t="shared" si="8"/>
        <v>0</v>
      </c>
      <c r="R61" s="683">
        <f ca="1">R46+R52+R56</f>
        <v>114653.41904963738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0.20025966727397096</v>
      </c>
      <c r="D63" s="726">
        <f t="shared" ca="1" si="9"/>
        <v>0</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5105.478112646917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5105.478112646917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30288.080558292535</v>
      </c>
      <c r="C4" s="448">
        <f>huishoudens!C8</f>
        <v>0</v>
      </c>
      <c r="D4" s="448">
        <f>huishoudens!D8</f>
        <v>69688.802689387841</v>
      </c>
      <c r="E4" s="448">
        <f>huishoudens!E8</f>
        <v>1601.514038775372</v>
      </c>
      <c r="F4" s="448">
        <f>huishoudens!F8</f>
        <v>49079.154844591016</v>
      </c>
      <c r="G4" s="448">
        <f>huishoudens!G8</f>
        <v>0</v>
      </c>
      <c r="H4" s="448">
        <f>huishoudens!H8</f>
        <v>0</v>
      </c>
      <c r="I4" s="448">
        <f>huishoudens!I8</f>
        <v>0</v>
      </c>
      <c r="J4" s="448">
        <f>huishoudens!J8</f>
        <v>929.46146760048737</v>
      </c>
      <c r="K4" s="448">
        <f>huishoudens!K8</f>
        <v>0</v>
      </c>
      <c r="L4" s="448">
        <f>huishoudens!L8</f>
        <v>0</v>
      </c>
      <c r="M4" s="448">
        <f>huishoudens!M8</f>
        <v>0</v>
      </c>
      <c r="N4" s="448">
        <f>huishoudens!N8</f>
        <v>10287.364009200945</v>
      </c>
      <c r="O4" s="448">
        <f>huishoudens!O8</f>
        <v>261.07666666666665</v>
      </c>
      <c r="P4" s="449">
        <f>huishoudens!P8</f>
        <v>934.26666666666665</v>
      </c>
      <c r="Q4" s="450">
        <f>SUM(B4:P4)</f>
        <v>163069.72094118153</v>
      </c>
    </row>
    <row r="5" spans="1:17">
      <c r="A5" s="447" t="s">
        <v>149</v>
      </c>
      <c r="B5" s="448">
        <f ca="1">tertiair!B16</f>
        <v>16130.039750263073</v>
      </c>
      <c r="C5" s="448">
        <f ca="1">tertiair!C16</f>
        <v>0</v>
      </c>
      <c r="D5" s="448">
        <f ca="1">tertiair!D16</f>
        <v>21267.787766404086</v>
      </c>
      <c r="E5" s="448">
        <f>tertiair!E16</f>
        <v>100.56203426123346</v>
      </c>
      <c r="F5" s="448">
        <f ca="1">tertiair!F16</f>
        <v>2010.0774571166626</v>
      </c>
      <c r="G5" s="448">
        <f>tertiair!G16</f>
        <v>0</v>
      </c>
      <c r="H5" s="448">
        <f>tertiair!H16</f>
        <v>0</v>
      </c>
      <c r="I5" s="448">
        <f>tertiair!I16</f>
        <v>0</v>
      </c>
      <c r="J5" s="448">
        <f>tertiair!J16</f>
        <v>24.89948948997867</v>
      </c>
      <c r="K5" s="448">
        <f>tertiair!K16</f>
        <v>0</v>
      </c>
      <c r="L5" s="448">
        <f ca="1">tertiair!L16</f>
        <v>0</v>
      </c>
      <c r="M5" s="448">
        <f>tertiair!M16</f>
        <v>0</v>
      </c>
      <c r="N5" s="448">
        <f ca="1">tertiair!N16</f>
        <v>891.60708709102823</v>
      </c>
      <c r="O5" s="448">
        <f>tertiair!O16</f>
        <v>7.8166666666666664</v>
      </c>
      <c r="P5" s="449">
        <f>tertiair!P16</f>
        <v>57.2</v>
      </c>
      <c r="Q5" s="447">
        <f t="shared" ref="Q5:Q14" ca="1" si="0">SUM(B5:P5)</f>
        <v>40489.990251292722</v>
      </c>
    </row>
    <row r="6" spans="1:17">
      <c r="A6" s="447" t="s">
        <v>187</v>
      </c>
      <c r="B6" s="448">
        <f>'openbare verlichting'!B8</f>
        <v>1020.116</v>
      </c>
      <c r="C6" s="448"/>
      <c r="D6" s="448"/>
      <c r="E6" s="448"/>
      <c r="F6" s="448"/>
      <c r="G6" s="448"/>
      <c r="H6" s="448"/>
      <c r="I6" s="448"/>
      <c r="J6" s="448"/>
      <c r="K6" s="448"/>
      <c r="L6" s="448"/>
      <c r="M6" s="448"/>
      <c r="N6" s="448"/>
      <c r="O6" s="448"/>
      <c r="P6" s="449"/>
      <c r="Q6" s="447">
        <f t="shared" si="0"/>
        <v>1020.116</v>
      </c>
    </row>
    <row r="7" spans="1:17">
      <c r="A7" s="447" t="s">
        <v>105</v>
      </c>
      <c r="B7" s="448">
        <f>landbouw!B8</f>
        <v>1573.2709292518459</v>
      </c>
      <c r="C7" s="448">
        <f>landbouw!C8</f>
        <v>0</v>
      </c>
      <c r="D7" s="448">
        <f>landbouw!D8</f>
        <v>453.25147896186513</v>
      </c>
      <c r="E7" s="448">
        <f>landbouw!E8</f>
        <v>32.668514843497078</v>
      </c>
      <c r="F7" s="448">
        <f>landbouw!F8</f>
        <v>5559.9796092548768</v>
      </c>
      <c r="G7" s="448">
        <f>landbouw!G8</f>
        <v>0</v>
      </c>
      <c r="H7" s="448">
        <f>landbouw!H8</f>
        <v>0</v>
      </c>
      <c r="I7" s="448">
        <f>landbouw!I8</f>
        <v>0</v>
      </c>
      <c r="J7" s="448">
        <f>landbouw!J8</f>
        <v>180.44422491350193</v>
      </c>
      <c r="K7" s="448">
        <f>landbouw!K8</f>
        <v>0</v>
      </c>
      <c r="L7" s="448">
        <f>landbouw!L8</f>
        <v>0</v>
      </c>
      <c r="M7" s="448">
        <f>landbouw!M8</f>
        <v>0</v>
      </c>
      <c r="N7" s="448">
        <f>landbouw!N8</f>
        <v>0</v>
      </c>
      <c r="O7" s="448">
        <f>landbouw!O8</f>
        <v>0</v>
      </c>
      <c r="P7" s="449">
        <f>landbouw!P8</f>
        <v>0</v>
      </c>
      <c r="Q7" s="447">
        <f t="shared" si="0"/>
        <v>7799.6147572255868</v>
      </c>
    </row>
    <row r="8" spans="1:17">
      <c r="A8" s="447" t="s">
        <v>614</v>
      </c>
      <c r="B8" s="448">
        <f>industrie!B18</f>
        <v>4415.3450898047722</v>
      </c>
      <c r="C8" s="448">
        <f>industrie!C18</f>
        <v>0</v>
      </c>
      <c r="D8" s="448">
        <f>industrie!D18</f>
        <v>2919.5284819721728</v>
      </c>
      <c r="E8" s="448">
        <f>industrie!E18</f>
        <v>772.65514004976922</v>
      </c>
      <c r="F8" s="448">
        <f>industrie!F18</f>
        <v>2900.0734566561896</v>
      </c>
      <c r="G8" s="448">
        <f>industrie!G18</f>
        <v>0</v>
      </c>
      <c r="H8" s="448">
        <f>industrie!H18</f>
        <v>0</v>
      </c>
      <c r="I8" s="448">
        <f>industrie!I18</f>
        <v>0</v>
      </c>
      <c r="J8" s="448">
        <f>industrie!J18</f>
        <v>2.6725731487436954</v>
      </c>
      <c r="K8" s="448">
        <f>industrie!K18</f>
        <v>0</v>
      </c>
      <c r="L8" s="448">
        <f>industrie!L18</f>
        <v>0</v>
      </c>
      <c r="M8" s="448">
        <f>industrie!M18</f>
        <v>0</v>
      </c>
      <c r="N8" s="448">
        <f>industrie!N18</f>
        <v>473.02643233459617</v>
      </c>
      <c r="O8" s="448">
        <f>industrie!O18</f>
        <v>0</v>
      </c>
      <c r="P8" s="449">
        <f>industrie!P18</f>
        <v>0</v>
      </c>
      <c r="Q8" s="447">
        <f t="shared" si="0"/>
        <v>11483.301173966243</v>
      </c>
    </row>
    <row r="9" spans="1:17" s="453" customFormat="1">
      <c r="A9" s="451" t="s">
        <v>555</v>
      </c>
      <c r="B9" s="452">
        <f>transport!B14</f>
        <v>17.880666846713336</v>
      </c>
      <c r="C9" s="452">
        <f>transport!C14</f>
        <v>0</v>
      </c>
      <c r="D9" s="452">
        <f>transport!D14</f>
        <v>14.938560641670705</v>
      </c>
      <c r="E9" s="452">
        <f>transport!E14</f>
        <v>614.60009602548791</v>
      </c>
      <c r="F9" s="452">
        <f>transport!F14</f>
        <v>0</v>
      </c>
      <c r="G9" s="452">
        <f>transport!G14</f>
        <v>224088.72317187893</v>
      </c>
      <c r="H9" s="452">
        <f>transport!H14</f>
        <v>28365.942207083976</v>
      </c>
      <c r="I9" s="452">
        <f>transport!I14</f>
        <v>0</v>
      </c>
      <c r="J9" s="452">
        <f>transport!J14</f>
        <v>0</v>
      </c>
      <c r="K9" s="452">
        <f>transport!K14</f>
        <v>0</v>
      </c>
      <c r="L9" s="452">
        <f>transport!L14</f>
        <v>0</v>
      </c>
      <c r="M9" s="452">
        <f>transport!M14</f>
        <v>11410.854071461639</v>
      </c>
      <c r="N9" s="452">
        <f>transport!N14</f>
        <v>0</v>
      </c>
      <c r="O9" s="452">
        <f>transport!O14</f>
        <v>0</v>
      </c>
      <c r="P9" s="452">
        <f>transport!P14</f>
        <v>0</v>
      </c>
      <c r="Q9" s="451">
        <f>SUM(B9:P9)</f>
        <v>264512.9387739384</v>
      </c>
    </row>
    <row r="10" spans="1:17">
      <c r="A10" s="447" t="s">
        <v>545</v>
      </c>
      <c r="B10" s="448">
        <f>transport!B54</f>
        <v>8.4082923559227609</v>
      </c>
      <c r="C10" s="448">
        <f>transport!C54</f>
        <v>0</v>
      </c>
      <c r="D10" s="448">
        <f>transport!D54</f>
        <v>0</v>
      </c>
      <c r="E10" s="448">
        <f>transport!E54</f>
        <v>0</v>
      </c>
      <c r="F10" s="448">
        <f>transport!F54</f>
        <v>0</v>
      </c>
      <c r="G10" s="448">
        <f>transport!G54</f>
        <v>1636.6265296574675</v>
      </c>
      <c r="H10" s="448">
        <f>transport!H54</f>
        <v>0</v>
      </c>
      <c r="I10" s="448">
        <f>transport!I54</f>
        <v>0</v>
      </c>
      <c r="J10" s="448">
        <f>transport!J54</f>
        <v>0</v>
      </c>
      <c r="K10" s="448">
        <f>transport!K54</f>
        <v>0</v>
      </c>
      <c r="L10" s="448">
        <f>transport!L54</f>
        <v>0</v>
      </c>
      <c r="M10" s="448">
        <f>transport!M54</f>
        <v>73.387708790358886</v>
      </c>
      <c r="N10" s="448">
        <f>transport!N54</f>
        <v>0</v>
      </c>
      <c r="O10" s="448">
        <f>transport!O54</f>
        <v>0</v>
      </c>
      <c r="P10" s="449">
        <f>transport!P54</f>
        <v>0</v>
      </c>
      <c r="Q10" s="447">
        <f t="shared" si="0"/>
        <v>1718.4225308037492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948.62158745881402</v>
      </c>
      <c r="C14" s="455"/>
      <c r="D14" s="455">
        <f>'SEAP template'!E25</f>
        <v>1775.1556707887801</v>
      </c>
      <c r="E14" s="455"/>
      <c r="F14" s="455"/>
      <c r="G14" s="455"/>
      <c r="H14" s="455"/>
      <c r="I14" s="455"/>
      <c r="J14" s="455"/>
      <c r="K14" s="455"/>
      <c r="L14" s="455"/>
      <c r="M14" s="455"/>
      <c r="N14" s="455"/>
      <c r="O14" s="455"/>
      <c r="P14" s="456"/>
      <c r="Q14" s="447">
        <f t="shared" si="0"/>
        <v>2723.7772582475941</v>
      </c>
    </row>
    <row r="15" spans="1:17" s="460" customFormat="1">
      <c r="A15" s="457" t="s">
        <v>549</v>
      </c>
      <c r="B15" s="458">
        <f ca="1">SUM(B4:B14)</f>
        <v>54401.762874273685</v>
      </c>
      <c r="C15" s="458">
        <f t="shared" ref="C15:Q15" ca="1" si="1">SUM(C4:C14)</f>
        <v>0</v>
      </c>
      <c r="D15" s="458">
        <f t="shared" ca="1" si="1"/>
        <v>96119.464648156412</v>
      </c>
      <c r="E15" s="458">
        <f t="shared" si="1"/>
        <v>3121.9998239553597</v>
      </c>
      <c r="F15" s="458">
        <f t="shared" ca="1" si="1"/>
        <v>59549.285367618744</v>
      </c>
      <c r="G15" s="458">
        <f t="shared" si="1"/>
        <v>225725.34970153638</v>
      </c>
      <c r="H15" s="458">
        <f t="shared" si="1"/>
        <v>28365.942207083976</v>
      </c>
      <c r="I15" s="458">
        <f t="shared" si="1"/>
        <v>0</v>
      </c>
      <c r="J15" s="458">
        <f t="shared" si="1"/>
        <v>1137.4777551527116</v>
      </c>
      <c r="K15" s="458">
        <f t="shared" si="1"/>
        <v>0</v>
      </c>
      <c r="L15" s="458">
        <f t="shared" ca="1" si="1"/>
        <v>0</v>
      </c>
      <c r="M15" s="458">
        <f t="shared" si="1"/>
        <v>11484.241780251998</v>
      </c>
      <c r="N15" s="458">
        <f t="shared" ca="1" si="1"/>
        <v>11651.997528626569</v>
      </c>
      <c r="O15" s="458">
        <f t="shared" si="1"/>
        <v>268.89333333333332</v>
      </c>
      <c r="P15" s="458">
        <f t="shared" si="1"/>
        <v>991.4666666666667</v>
      </c>
      <c r="Q15" s="458">
        <f t="shared" ca="1" si="1"/>
        <v>492817.88168665586</v>
      </c>
    </row>
    <row r="17" spans="1:17">
      <c r="A17" s="461" t="s">
        <v>550</v>
      </c>
      <c r="B17" s="731">
        <f ca="1">huishoudens!B10</f>
        <v>0.20025966727397099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6065.4809349708921</v>
      </c>
      <c r="C22" s="448">
        <f t="shared" ref="C22:C32" ca="1" si="3">C4*$C$17</f>
        <v>0</v>
      </c>
      <c r="D22" s="448">
        <f t="shared" ref="D22:D32" si="4">D4*$D$17</f>
        <v>14077.138143256345</v>
      </c>
      <c r="E22" s="448">
        <f t="shared" ref="E22:E32" si="5">E4*$E$17</f>
        <v>363.54368680200946</v>
      </c>
      <c r="F22" s="448">
        <f t="shared" ref="F22:F32" si="6">F4*$F$17</f>
        <v>13104.134343505802</v>
      </c>
      <c r="G22" s="448">
        <f t="shared" ref="G22:G32" si="7">G4*$G$17</f>
        <v>0</v>
      </c>
      <c r="H22" s="448">
        <f t="shared" ref="H22:H32" si="8">H4*$H$17</f>
        <v>0</v>
      </c>
      <c r="I22" s="448">
        <f t="shared" ref="I22:I32" si="9">I4*$I$17</f>
        <v>0</v>
      </c>
      <c r="J22" s="448">
        <f t="shared" ref="J22:J32" si="10">J4*$J$17</f>
        <v>329.02935953057249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33939.326468065621</v>
      </c>
    </row>
    <row r="23" spans="1:17">
      <c r="A23" s="447" t="s">
        <v>149</v>
      </c>
      <c r="B23" s="448">
        <f t="shared" ca="1" si="2"/>
        <v>3230.1963935036092</v>
      </c>
      <c r="C23" s="448">
        <f t="shared" ca="1" si="3"/>
        <v>0</v>
      </c>
      <c r="D23" s="448">
        <f t="shared" ca="1" si="4"/>
        <v>4296.0931288136253</v>
      </c>
      <c r="E23" s="448">
        <f t="shared" si="5"/>
        <v>22.827581777299997</v>
      </c>
      <c r="F23" s="448">
        <f t="shared" ca="1" si="6"/>
        <v>536.6906810501489</v>
      </c>
      <c r="G23" s="448">
        <f t="shared" si="7"/>
        <v>0</v>
      </c>
      <c r="H23" s="448">
        <f t="shared" si="8"/>
        <v>0</v>
      </c>
      <c r="I23" s="448">
        <f t="shared" si="9"/>
        <v>0</v>
      </c>
      <c r="J23" s="448">
        <f t="shared" si="10"/>
        <v>8.8144192794524479</v>
      </c>
      <c r="K23" s="448">
        <f t="shared" si="11"/>
        <v>0</v>
      </c>
      <c r="L23" s="448">
        <f t="shared" ca="1" si="12"/>
        <v>0</v>
      </c>
      <c r="M23" s="448">
        <f t="shared" si="13"/>
        <v>0</v>
      </c>
      <c r="N23" s="448">
        <f t="shared" ca="1" si="14"/>
        <v>0</v>
      </c>
      <c r="O23" s="448">
        <f t="shared" si="15"/>
        <v>0</v>
      </c>
      <c r="P23" s="449">
        <f t="shared" si="16"/>
        <v>0</v>
      </c>
      <c r="Q23" s="447">
        <f t="shared" ref="Q23:Q32" ca="1" si="17">SUM(B23:P23)</f>
        <v>8094.6222044241358</v>
      </c>
    </row>
    <row r="24" spans="1:17">
      <c r="A24" s="447" t="s">
        <v>187</v>
      </c>
      <c r="B24" s="448">
        <f t="shared" ca="1" si="2"/>
        <v>204.28809074085419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204.28809074085419</v>
      </c>
    </row>
    <row r="25" spans="1:17">
      <c r="A25" s="447" t="s">
        <v>105</v>
      </c>
      <c r="B25" s="448">
        <f t="shared" ca="1" si="2"/>
        <v>315.06271282378583</v>
      </c>
      <c r="C25" s="448">
        <f t="shared" ca="1" si="3"/>
        <v>0</v>
      </c>
      <c r="D25" s="448">
        <f t="shared" si="4"/>
        <v>91.556798750296764</v>
      </c>
      <c r="E25" s="448">
        <f t="shared" si="5"/>
        <v>7.4157528694738373</v>
      </c>
      <c r="F25" s="448">
        <f t="shared" si="6"/>
        <v>1484.5145556710522</v>
      </c>
      <c r="G25" s="448">
        <f t="shared" si="7"/>
        <v>0</v>
      </c>
      <c r="H25" s="448">
        <f t="shared" si="8"/>
        <v>0</v>
      </c>
      <c r="I25" s="448">
        <f t="shared" si="9"/>
        <v>0</v>
      </c>
      <c r="J25" s="448">
        <f t="shared" si="10"/>
        <v>63.877255619379682</v>
      </c>
      <c r="K25" s="448">
        <f t="shared" si="11"/>
        <v>0</v>
      </c>
      <c r="L25" s="448">
        <f t="shared" si="12"/>
        <v>0</v>
      </c>
      <c r="M25" s="448">
        <f t="shared" si="13"/>
        <v>0</v>
      </c>
      <c r="N25" s="448">
        <f t="shared" si="14"/>
        <v>0</v>
      </c>
      <c r="O25" s="448">
        <f t="shared" si="15"/>
        <v>0</v>
      </c>
      <c r="P25" s="449">
        <f t="shared" si="16"/>
        <v>0</v>
      </c>
      <c r="Q25" s="447">
        <f t="shared" ca="1" si="17"/>
        <v>1962.4270757339884</v>
      </c>
    </row>
    <row r="26" spans="1:17">
      <c r="A26" s="447" t="s">
        <v>614</v>
      </c>
      <c r="B26" s="448">
        <f t="shared" ca="1" si="2"/>
        <v>884.21553858406526</v>
      </c>
      <c r="C26" s="448">
        <f t="shared" ca="1" si="3"/>
        <v>0</v>
      </c>
      <c r="D26" s="448">
        <f t="shared" si="4"/>
        <v>589.74475335837894</v>
      </c>
      <c r="E26" s="448">
        <f t="shared" si="5"/>
        <v>175.39271679129763</v>
      </c>
      <c r="F26" s="448">
        <f t="shared" si="6"/>
        <v>774.31961292720268</v>
      </c>
      <c r="G26" s="448">
        <f t="shared" si="7"/>
        <v>0</v>
      </c>
      <c r="H26" s="448">
        <f t="shared" si="8"/>
        <v>0</v>
      </c>
      <c r="I26" s="448">
        <f t="shared" si="9"/>
        <v>0</v>
      </c>
      <c r="J26" s="448">
        <f t="shared" si="10"/>
        <v>0.94609089465526819</v>
      </c>
      <c r="K26" s="448">
        <f t="shared" si="11"/>
        <v>0</v>
      </c>
      <c r="L26" s="448">
        <f t="shared" si="12"/>
        <v>0</v>
      </c>
      <c r="M26" s="448">
        <f t="shared" si="13"/>
        <v>0</v>
      </c>
      <c r="N26" s="448">
        <f t="shared" si="14"/>
        <v>0</v>
      </c>
      <c r="O26" s="448">
        <f t="shared" si="15"/>
        <v>0</v>
      </c>
      <c r="P26" s="449">
        <f t="shared" si="16"/>
        <v>0</v>
      </c>
      <c r="Q26" s="447">
        <f t="shared" ca="1" si="17"/>
        <v>2424.6187125555998</v>
      </c>
    </row>
    <row r="27" spans="1:17" s="453" customFormat="1">
      <c r="A27" s="451" t="s">
        <v>555</v>
      </c>
      <c r="B27" s="725">
        <f t="shared" ca="1" si="2"/>
        <v>3.5807763933595367</v>
      </c>
      <c r="C27" s="452">
        <f t="shared" ca="1" si="3"/>
        <v>0</v>
      </c>
      <c r="D27" s="452">
        <f t="shared" si="4"/>
        <v>3.0175892496174828</v>
      </c>
      <c r="E27" s="452">
        <f t="shared" si="5"/>
        <v>139.51422179778575</v>
      </c>
      <c r="F27" s="452">
        <f t="shared" si="6"/>
        <v>0</v>
      </c>
      <c r="G27" s="452">
        <f t="shared" si="7"/>
        <v>59831.689086891674</v>
      </c>
      <c r="H27" s="452">
        <f t="shared" si="8"/>
        <v>7063.1196095639098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67040.921283896343</v>
      </c>
    </row>
    <row r="28" spans="1:17">
      <c r="A28" s="447" t="s">
        <v>545</v>
      </c>
      <c r="B28" s="448">
        <f t="shared" ca="1" si="2"/>
        <v>1.6838418295393658</v>
      </c>
      <c r="C28" s="448">
        <f t="shared" ca="1" si="3"/>
        <v>0</v>
      </c>
      <c r="D28" s="448">
        <f t="shared" si="4"/>
        <v>0</v>
      </c>
      <c r="E28" s="448">
        <f t="shared" si="5"/>
        <v>0</v>
      </c>
      <c r="F28" s="448">
        <f t="shared" si="6"/>
        <v>0</v>
      </c>
      <c r="G28" s="448">
        <f t="shared" si="7"/>
        <v>436.97928341854384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438.66312524808319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189.97064347340827</v>
      </c>
      <c r="C32" s="448">
        <f t="shared" ca="1" si="3"/>
        <v>0</v>
      </c>
      <c r="D32" s="448">
        <f t="shared" si="4"/>
        <v>358.5814454993336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548.5520889727419</v>
      </c>
    </row>
    <row r="33" spans="1:17" s="460" customFormat="1">
      <c r="A33" s="457" t="s">
        <v>549</v>
      </c>
      <c r="B33" s="458">
        <f ca="1">SUM(B22:B32)</f>
        <v>10894.478932319515</v>
      </c>
      <c r="C33" s="458">
        <f t="shared" ref="C33:Q33" ca="1" si="18">SUM(C22:C32)</f>
        <v>0</v>
      </c>
      <c r="D33" s="458">
        <f t="shared" ca="1" si="18"/>
        <v>19416.131858927602</v>
      </c>
      <c r="E33" s="458">
        <f t="shared" si="18"/>
        <v>708.69396003786665</v>
      </c>
      <c r="F33" s="458">
        <f t="shared" ca="1" si="18"/>
        <v>15899.659193154206</v>
      </c>
      <c r="G33" s="458">
        <f t="shared" si="18"/>
        <v>60268.668370310217</v>
      </c>
      <c r="H33" s="458">
        <f t="shared" si="18"/>
        <v>7063.1196095639098</v>
      </c>
      <c r="I33" s="458">
        <f t="shared" si="18"/>
        <v>0</v>
      </c>
      <c r="J33" s="458">
        <f t="shared" si="18"/>
        <v>402.6671253240599</v>
      </c>
      <c r="K33" s="458">
        <f t="shared" si="18"/>
        <v>0</v>
      </c>
      <c r="L33" s="458">
        <f t="shared" ca="1" si="18"/>
        <v>0</v>
      </c>
      <c r="M33" s="458">
        <f t="shared" si="18"/>
        <v>0</v>
      </c>
      <c r="N33" s="458">
        <f t="shared" ca="1" si="18"/>
        <v>0</v>
      </c>
      <c r="O33" s="458">
        <f t="shared" si="18"/>
        <v>0</v>
      </c>
      <c r="P33" s="458">
        <f t="shared" si="18"/>
        <v>0</v>
      </c>
      <c r="Q33" s="458">
        <f t="shared" ca="1" si="18"/>
        <v>114653.41904963739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5105.478112646917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5105.478112646917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0.20025966727397099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0.20025966727397099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2022-07-26T11:54:04Z</dcterms:modified>
</cp:coreProperties>
</file>